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trol Scores - Web Posting" sheetId="1" r:id="rId3"/>
  </sheets>
  <definedNames>
    <definedName localSheetId="0" name="Print_Area">'Patrol Scores - Web Posting'!$A$2:$AI$167</definedName>
  </definedNames>
  <calcPr/>
</workbook>
</file>

<file path=xl/sharedStrings.xml><?xml version="1.0" encoding="utf-8"?>
<sst xmlns="http://schemas.openxmlformats.org/spreadsheetml/2006/main" count="254" uniqueCount="181">
  <si>
    <t>PRINT ON LEGAL SIZE PAPER</t>
  </si>
  <si>
    <t>Rank corrected for average age</t>
  </si>
  <si>
    <t>Overall rank</t>
  </si>
  <si>
    <t>Hike number</t>
  </si>
  <si>
    <t>Stns Complete</t>
  </si>
  <si>
    <t>Average age of hike group</t>
  </si>
  <si>
    <t>number of hikersin group</t>
  </si>
  <si>
    <t>total age of group</t>
  </si>
  <si>
    <t>Adding</t>
  </si>
  <si>
    <t>Overall Total</t>
  </si>
  <si>
    <t>Total corrected for avrg age</t>
  </si>
  <si>
    <t>Favorite Station</t>
  </si>
  <si>
    <t>Hike Patrol Name</t>
  </si>
  <si>
    <t>Leader</t>
  </si>
  <si>
    <t>A</t>
  </si>
  <si>
    <t>B</t>
  </si>
  <si>
    <t>C</t>
  </si>
  <si>
    <t>D</t>
  </si>
  <si>
    <t>E</t>
  </si>
  <si>
    <t>H</t>
  </si>
  <si>
    <t>J</t>
  </si>
  <si>
    <t>K</t>
  </si>
  <si>
    <t>L</t>
  </si>
  <si>
    <t>N</t>
  </si>
  <si>
    <t>P</t>
  </si>
  <si>
    <t>Q</t>
  </si>
  <si>
    <t>R</t>
  </si>
  <si>
    <t>S</t>
  </si>
  <si>
    <t>T</t>
  </si>
  <si>
    <t>U</t>
  </si>
  <si>
    <t>W</t>
  </si>
  <si>
    <t>X</t>
  </si>
  <si>
    <t>Sub-Total</t>
  </si>
  <si>
    <t>Total</t>
  </si>
  <si>
    <t>1st New Westminster Rangers</t>
  </si>
  <si>
    <t>150th St. Stephes Stamina Scouts</t>
  </si>
  <si>
    <t>2nd Fraser Skies Trex</t>
  </si>
  <si>
    <t>3rd Cloverdale</t>
  </si>
  <si>
    <t>21st Capilano Scouts - Group B</t>
  </si>
  <si>
    <t>3rd Cloverdale Scouts #2 (Boys)</t>
  </si>
  <si>
    <t>12th Richmond Scouts</t>
  </si>
  <si>
    <t>46th Chown #1</t>
  </si>
  <si>
    <t>3rd Boundary Bay 2-1</t>
  </si>
  <si>
    <t>1st West Heights - Try Hard</t>
  </si>
  <si>
    <t>5th Coquitlam</t>
  </si>
  <si>
    <t>1st Abbotsford</t>
  </si>
  <si>
    <t>7th Mountain Burnaby Scouts</t>
  </si>
  <si>
    <t>1st Laity View Scouts</t>
  </si>
  <si>
    <t>3rd Cloverdale Scouts #1 (Girls)</t>
  </si>
  <si>
    <t>1st Kamloops</t>
  </si>
  <si>
    <t>10th Richmond Scouts 'But Better'</t>
  </si>
  <si>
    <t>8th Surdel</t>
  </si>
  <si>
    <t>3rd Boundary Bay 2-2</t>
  </si>
  <si>
    <t>10th Coquitlam Scouts</t>
  </si>
  <si>
    <t>46th Chown #2</t>
  </si>
  <si>
    <t>10th Richmond</t>
  </si>
  <si>
    <t>1st Willoughby Scouts</t>
  </si>
  <si>
    <t>3rd Boundary Bay 2-3</t>
  </si>
  <si>
    <t>69th Knights of Kensington</t>
  </si>
  <si>
    <t>76 Burnaby Scout Group</t>
  </si>
  <si>
    <t>1st Southwest Burnaby</t>
  </si>
  <si>
    <t>1st Lake Cowichan Scouts</t>
  </si>
  <si>
    <t>1st Walnut Grove Scouts Troop</t>
  </si>
  <si>
    <t>1st Centre Lake</t>
  </si>
  <si>
    <t>1st New Westminster Pathfinders</t>
  </si>
  <si>
    <t>16th Beaconsfield Scouts</t>
  </si>
  <si>
    <t>19th Richmond</t>
  </si>
  <si>
    <t>13th Kerrisdale Scouts</t>
  </si>
  <si>
    <t>1stt West Heights Delta</t>
  </si>
  <si>
    <t>10th Mundy Lake Pathfinders</t>
  </si>
  <si>
    <t>23rd Elsie Roy Troop A</t>
  </si>
  <si>
    <t>Orion Rangers &amp; 58th Pathfinders</t>
  </si>
  <si>
    <t>6th Central Surrey Scouts/Venturers</t>
  </si>
  <si>
    <t>21st Capilano Scouts - Group A</t>
  </si>
  <si>
    <t>58th Pathfinders</t>
  </si>
  <si>
    <t>1st Central Surrey</t>
  </si>
  <si>
    <t>1st Grove Ranger Trex</t>
  </si>
  <si>
    <t>23rd Elsie Roy Troop 1</t>
  </si>
  <si>
    <t>29th St Helens</t>
  </si>
  <si>
    <t>2nd LV Pathfinders</t>
  </si>
  <si>
    <t>25th Dunbar</t>
  </si>
  <si>
    <t>1st West Heights - Vega</t>
  </si>
  <si>
    <t>9th Surdel</t>
  </si>
  <si>
    <t>1st Hope</t>
  </si>
  <si>
    <t>1st Cloverdale Troop</t>
  </si>
  <si>
    <t>1st Cloverdale Company</t>
  </si>
  <si>
    <t>12 Nazarene Scout Group</t>
  </si>
  <si>
    <t>1st Willoughby Pathfinders</t>
  </si>
  <si>
    <t>Willoughby Rangers</t>
  </si>
  <si>
    <t>Mission Pathfinders</t>
  </si>
  <si>
    <t>C/J</t>
  </si>
  <si>
    <t>Mission Rangers</t>
  </si>
  <si>
    <t>Dunbar 25th Howlers</t>
  </si>
  <si>
    <t>50th Vancouver Pathfinders</t>
  </si>
  <si>
    <t>4th Northview Burnaby Scout Group</t>
  </si>
  <si>
    <t>3rd West Van</t>
  </si>
  <si>
    <t>1st Semi Troop</t>
  </si>
  <si>
    <t>1st Albion Scouts</t>
  </si>
  <si>
    <t>1st Burnaby Lakes 'Happy Banans'</t>
  </si>
  <si>
    <t>H?</t>
  </si>
  <si>
    <t>49th Vancouver Pathfinders</t>
  </si>
  <si>
    <t>46th Chown Cubs</t>
  </si>
  <si>
    <t>138th East Vancouver Scout Group</t>
  </si>
  <si>
    <t>9th Poco Scouts</t>
  </si>
  <si>
    <t>4th Port Coquitlam Troop B</t>
  </si>
  <si>
    <t>4th Port Coquitlam Troop A</t>
  </si>
  <si>
    <t>10th Richmond Thursday Pack</t>
  </si>
  <si>
    <t>21st Capilano</t>
  </si>
  <si>
    <t>10th Richmond 'Tyler's Terrible Troop'</t>
  </si>
  <si>
    <t>2nd Central Surrey - Sleepwalkers</t>
  </si>
  <si>
    <t>15th Pathfinders Vancouver</t>
  </si>
  <si>
    <t>2nd Central Surrey - Goats</t>
  </si>
  <si>
    <t>3rd Boundary Bay 1</t>
  </si>
  <si>
    <t>1st Burnaby Lakes 'Skiddle Dats'</t>
  </si>
  <si>
    <t>7th SW Burnaby Sea Scouts</t>
  </si>
  <si>
    <t>12th New Westminster</t>
  </si>
  <si>
    <t>10th Richmond Scuot Group</t>
  </si>
  <si>
    <t>1st Telegraph Trail Pathfinders B</t>
  </si>
  <si>
    <t>10th &amp; 12th Mundy Lake Pathfinders</t>
  </si>
  <si>
    <t>21st South Surrey</t>
  </si>
  <si>
    <t>2nd Haney Pathfinders</t>
  </si>
  <si>
    <t>10th Richmond Thursday/Tuesday Pack</t>
  </si>
  <si>
    <t>10th Richmond Scouts Patrol 2</t>
  </si>
  <si>
    <t>8th Northview Burnaby Scouts</t>
  </si>
  <si>
    <t>1st Telegraph Trail Pathfinders A</t>
  </si>
  <si>
    <t>2nd Comolake Pathfinders</t>
  </si>
  <si>
    <t>B/C</t>
  </si>
  <si>
    <t>12th Coquitlam Scouts</t>
  </si>
  <si>
    <t>1st Haney Troop</t>
  </si>
  <si>
    <t>2nd WCA Trex</t>
  </si>
  <si>
    <t>3rd Seymour Pathfinders</t>
  </si>
  <si>
    <t>4th Guides Youngen</t>
  </si>
  <si>
    <t>28th Richmond</t>
  </si>
  <si>
    <t>33rd Richmond Buddha's Light</t>
  </si>
  <si>
    <t>4th Guides Cider (?)</t>
  </si>
  <si>
    <t>1st Coquitlam</t>
  </si>
  <si>
    <t>115th Coquitlam Scout Group</t>
  </si>
  <si>
    <t>B/D</t>
  </si>
  <si>
    <t>?</t>
  </si>
  <si>
    <t>1st Tsawwassen Pathfinders</t>
  </si>
  <si>
    <t>1st Clover Ridge Pathfinders B</t>
  </si>
  <si>
    <t>40th Marpole</t>
  </si>
  <si>
    <t>16th Beaconsfield - Pack 1</t>
  </si>
  <si>
    <t>1st Clover Ridge Pathfinders A</t>
  </si>
  <si>
    <t>16th Beaconsfield - Pack 2</t>
  </si>
  <si>
    <t xml:space="preserve">1st Como Lake </t>
  </si>
  <si>
    <t>1st Como Lake</t>
  </si>
  <si>
    <t>1st Southwest</t>
  </si>
  <si>
    <t>2st Southwest</t>
  </si>
  <si>
    <t>9..5</t>
  </si>
  <si>
    <t>7th Girl Guides Vancouver</t>
  </si>
  <si>
    <t>5th Coquitlam Cubs</t>
  </si>
  <si>
    <t>score sheet missing</t>
  </si>
  <si>
    <t>10th Sea Scouts Richmond</t>
  </si>
  <si>
    <t>28th Kitsilano Cub Pack B</t>
  </si>
  <si>
    <t>28th Kitsilano Cub Pack A</t>
  </si>
  <si>
    <t>Count:</t>
  </si>
  <si>
    <t>avg age</t>
  </si>
  <si>
    <t>total youth hikers</t>
  </si>
  <si>
    <t>Overall Winner</t>
  </si>
  <si>
    <t>1st New Westminster Rangers - 185 Points</t>
  </si>
  <si>
    <t>Second</t>
  </si>
  <si>
    <t>150th St. Stephes Stamina Scouts 183 Points</t>
  </si>
  <si>
    <t>Winner corrected for age</t>
  </si>
  <si>
    <t>12th Richmond Scouts (average age 11.4yrs) - 189.7 Pts</t>
  </si>
  <si>
    <t>Number of hike groups</t>
  </si>
  <si>
    <t>Number of hikers (excl. leaders)</t>
  </si>
  <si>
    <t>Hike groups to complete</t>
  </si>
  <si>
    <t>Youngest group to complete</t>
  </si>
  <si>
    <t>12th Richmond Scouts (average age 11.4 yrs)</t>
  </si>
  <si>
    <t>1st Favorite Station</t>
  </si>
  <si>
    <t>2nd Favorite Station</t>
  </si>
  <si>
    <t>3rd Favorite Station</t>
  </si>
  <si>
    <t>Station with most visits</t>
  </si>
  <si>
    <t>K (103 groups)</t>
  </si>
  <si>
    <t>Station with least visits</t>
  </si>
  <si>
    <t>D (64 groups)</t>
  </si>
  <si>
    <t>Average age – youngest hike group</t>
  </si>
  <si>
    <t>5.5 yrs (10th Sea Scouts Richmond)</t>
  </si>
  <si>
    <t>Average age – oldest hike group</t>
  </si>
  <si>
    <t>17.33 yrs (Willoughby Rangerss)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</si>
</sst>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8">
    <font>
      <sz val="10.0"/>
      <color rgb="FF000000"/>
      <name val="Arial"/>
    </font>
    <font>
      <sz val="6.0"/>
      <name val="Arial"/>
    </font>
    <font>
      <sz val="10.0"/>
      <name val="Arial"/>
    </font>
    <font>
      <sz val="8.0"/>
      <name val="Arial"/>
    </font>
    <font>
      <b/>
      <i/>
      <sz val="8.0"/>
      <name val="Arial"/>
    </font>
    <font>
      <i/>
      <sz val="8.0"/>
      <name val="Arial"/>
    </font>
    <font>
      <b/>
      <i/>
      <sz val="9.0"/>
      <name val="Arial"/>
    </font>
    <font>
      <i/>
      <sz val="9.0"/>
      <name val="Arial"/>
    </font>
    <font>
      <b/>
      <sz val="10.0"/>
      <name val="Arial"/>
    </font>
    <font>
      <b/>
      <sz val="9.0"/>
      <name val="Arial"/>
    </font>
    <font>
      <b/>
      <sz val="6.0"/>
      <name val="Arial"/>
    </font>
    <font>
      <b/>
      <sz val="8.0"/>
      <name val="Arial"/>
    </font>
    <font>
      <b/>
      <sz val="10.0"/>
    </font>
    <font>
      <sz val="8.0"/>
      <color rgb="FF000000"/>
      <name val="Arial"/>
    </font>
    <font/>
    <font>
      <b/>
      <i/>
      <u/>
      <sz val="10.0"/>
      <name val="Arial"/>
    </font>
    <font>
      <sz val="9.0"/>
      <name val="Arial"/>
    </font>
    <font>
      <sz val="8.0"/>
    </font>
  </fonts>
  <fills count="4">
    <fill>
      <patternFill patternType="none"/>
    </fill>
    <fill>
      <patternFill patternType="lightGray"/>
    </fill>
    <fill>
      <patternFill patternType="solid">
        <fgColor rgb="FFFCF305"/>
        <bgColor rgb="FFFCF305"/>
      </patternFill>
    </fill>
    <fill>
      <patternFill patternType="solid">
        <fgColor rgb="FFFFFFFF"/>
        <bgColor rgb="FFFFFFFF"/>
      </patternFill>
    </fill>
  </fills>
  <borders count="29">
    <border/>
    <border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right style="medium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right style="thin">
        <color rgb="FF000000"/>
      </right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109">
    <xf borderId="0" fillId="0" fontId="0" numFmtId="0" xfId="0" applyAlignment="1" applyFont="1">
      <alignment readingOrder="0" shrinkToFit="0" vertical="bottom" wrapText="1"/>
    </xf>
    <xf borderId="0" fillId="0" fontId="1" numFmtId="0" xfId="0" applyAlignment="1" applyFont="1">
      <alignment horizontal="center" shrinkToFit="0" wrapText="0"/>
    </xf>
    <xf borderId="0" fillId="0" fontId="2" numFmtId="49" xfId="0" applyAlignment="1" applyFont="1" applyNumberFormat="1">
      <alignment shrinkToFit="0" wrapText="0"/>
    </xf>
    <xf borderId="0" fillId="0" fontId="2" numFmtId="0" xfId="0" applyAlignment="1" applyFont="1">
      <alignment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2" numFmtId="164" xfId="0" applyAlignment="1" applyFont="1" applyNumberFormat="1">
      <alignment shrinkToFit="0" wrapText="0"/>
    </xf>
    <xf borderId="1" fillId="0" fontId="4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readingOrder="0" shrinkToFit="0" wrapText="0"/>
    </xf>
    <xf borderId="1" fillId="0" fontId="2" numFmtId="0" xfId="0" applyAlignment="1" applyBorder="1" applyFont="1">
      <alignment horizontal="center" shrinkToFit="0" wrapText="0"/>
    </xf>
    <xf borderId="1" fillId="0" fontId="5" numFmtId="0" xfId="0" applyAlignment="1" applyBorder="1" applyFont="1">
      <alignment horizontal="center" shrinkToFit="0" wrapText="0"/>
    </xf>
    <xf borderId="2" fillId="0" fontId="6" numFmtId="0" xfId="0" applyAlignment="1" applyBorder="1" applyFont="1">
      <alignment horizontal="center" readingOrder="0" shrinkToFit="0" wrapText="0"/>
    </xf>
    <xf borderId="2" fillId="0" fontId="4" numFmtId="2" xfId="0" applyAlignment="1" applyBorder="1" applyFont="1" applyNumberFormat="1">
      <alignment horizontal="center" shrinkToFit="0" wrapText="0"/>
    </xf>
    <xf borderId="2" fillId="0" fontId="7" numFmtId="0" xfId="0" applyAlignment="1" applyBorder="1" applyFont="1">
      <alignment horizontal="center" shrinkToFit="0" wrapText="0"/>
    </xf>
    <xf borderId="1" fillId="0" fontId="3" numFmtId="0" xfId="0" applyAlignment="1" applyBorder="1" applyFont="1">
      <alignment horizontal="center" shrinkToFit="0" wrapText="1"/>
    </xf>
    <xf borderId="2" fillId="0" fontId="8" numFmtId="0" xfId="0" applyAlignment="1" applyBorder="1" applyFont="1">
      <alignment horizontal="center" shrinkToFit="0" wrapText="1"/>
    </xf>
    <xf borderId="2" fillId="0" fontId="9" numFmtId="164" xfId="0" applyAlignment="1" applyBorder="1" applyFont="1" applyNumberFormat="1">
      <alignment horizontal="center" shrinkToFit="0" wrapText="1"/>
    </xf>
    <xf borderId="3" fillId="0" fontId="3" numFmtId="164" xfId="0" applyAlignment="1" applyBorder="1" applyFont="1" applyNumberFormat="1">
      <alignment horizontal="center" shrinkToFit="0" wrapText="1"/>
    </xf>
    <xf borderId="0" fillId="0" fontId="3" numFmtId="164" xfId="0" applyAlignment="1" applyFont="1" applyNumberFormat="1">
      <alignment horizontal="center" shrinkToFit="0" wrapText="1"/>
    </xf>
    <xf borderId="0" fillId="0" fontId="2" numFmtId="0" xfId="0" applyAlignment="1" applyFont="1">
      <alignment horizontal="center" shrinkToFit="0" wrapText="0"/>
    </xf>
    <xf borderId="4" fillId="2" fontId="10" numFmtId="49" xfId="0" applyAlignment="1" applyBorder="1" applyFill="1" applyFont="1" applyNumberFormat="1">
      <alignment horizontal="center" shrinkToFit="0" vertical="center" wrapText="1"/>
    </xf>
    <xf borderId="4" fillId="2" fontId="8" numFmtId="49" xfId="0" applyAlignment="1" applyBorder="1" applyFont="1" applyNumberFormat="1">
      <alignment horizontal="center" shrinkToFit="0" vertical="center" wrapText="1"/>
    </xf>
    <xf borderId="4" fillId="2" fontId="8" numFmtId="0" xfId="0" applyAlignment="1" applyBorder="1" applyFont="1">
      <alignment horizontal="center" shrinkToFit="0" vertical="center" wrapText="1"/>
    </xf>
    <xf borderId="4" fillId="2" fontId="8" numFmtId="0" xfId="0" applyAlignment="1" applyBorder="1" applyFont="1">
      <alignment horizontal="center" readingOrder="0" shrinkToFit="0" vertical="center" wrapText="1"/>
    </xf>
    <xf borderId="5" fillId="2" fontId="8" numFmtId="0" xfId="0" applyAlignment="1" applyBorder="1" applyFont="1">
      <alignment horizontal="center" readingOrder="0" shrinkToFit="0" vertical="center" wrapText="1"/>
    </xf>
    <xf borderId="6" fillId="2" fontId="8" numFmtId="0" xfId="0" applyAlignment="1" applyBorder="1" applyFont="1">
      <alignment horizontal="center" shrinkToFit="0" vertical="center" wrapText="1"/>
    </xf>
    <xf borderId="4" fillId="2" fontId="11" numFmtId="2" xfId="0" applyAlignment="1" applyBorder="1" applyFont="1" applyNumberFormat="1">
      <alignment horizontal="center" shrinkToFit="0" vertical="center" wrapText="1"/>
    </xf>
    <xf borderId="4" fillId="2" fontId="10" numFmtId="0" xfId="0" applyAlignment="1" applyBorder="1" applyFont="1">
      <alignment horizontal="center" shrinkToFit="0" vertical="center" wrapText="1"/>
    </xf>
    <xf borderId="4" fillId="2" fontId="8" numFmtId="164" xfId="0" applyAlignment="1" applyBorder="1" applyFont="1" applyNumberFormat="1">
      <alignment horizontal="center" shrinkToFit="0" vertical="center" wrapText="1"/>
    </xf>
    <xf borderId="7" fillId="2" fontId="8" numFmtId="0" xfId="0" applyAlignment="1" applyBorder="1" applyFont="1">
      <alignment horizontal="center" shrinkToFit="0" vertical="center" wrapText="1"/>
    </xf>
    <xf borderId="0" fillId="0" fontId="2" numFmtId="1" xfId="0" applyAlignment="1" applyFont="1" applyNumberFormat="1">
      <alignment shrinkToFit="0" wrapText="1"/>
    </xf>
    <xf borderId="8" fillId="2" fontId="12" numFmtId="1" xfId="0" applyAlignment="1" applyBorder="1" applyFont="1" applyNumberFormat="1">
      <alignment horizontal="center" readingOrder="0" shrinkToFit="0" vertical="bottom" wrapText="0"/>
    </xf>
    <xf borderId="8" fillId="2" fontId="8" numFmtId="1" xfId="0" applyAlignment="1" applyBorder="1" applyFont="1" applyNumberFormat="1">
      <alignment horizontal="center" readingOrder="0" shrinkToFit="0" wrapText="0"/>
    </xf>
    <xf borderId="0" fillId="0" fontId="3" numFmtId="0" xfId="0" applyAlignment="1" applyFont="1">
      <alignment readingOrder="0" shrinkToFit="0" wrapText="0"/>
    </xf>
    <xf borderId="8" fillId="0" fontId="3" numFmtId="0" xfId="0" applyAlignment="1" applyBorder="1" applyFont="1">
      <alignment shrinkToFit="0" wrapText="0"/>
    </xf>
    <xf borderId="8" fillId="0" fontId="3" numFmtId="0" xfId="0" applyAlignment="1" applyBorder="1" applyFont="1">
      <alignment horizontal="center" readingOrder="0" shrinkToFit="0" wrapText="0"/>
    </xf>
    <xf borderId="9" fillId="0" fontId="3" numFmtId="0" xfId="0" applyAlignment="1" applyBorder="1" applyFont="1">
      <alignment horizontal="center" readingOrder="0" shrinkToFit="0" wrapText="0"/>
    </xf>
    <xf borderId="10" fillId="0" fontId="3" numFmtId="0" xfId="0" applyAlignment="1" applyBorder="1" applyFont="1">
      <alignment horizontal="center" shrinkToFit="0" wrapText="0"/>
    </xf>
    <xf borderId="8" fillId="0" fontId="3" numFmtId="2" xfId="0" applyAlignment="1" applyBorder="1" applyFont="1" applyNumberFormat="1">
      <alignment horizontal="center" shrinkToFit="0" wrapText="0"/>
    </xf>
    <xf borderId="11" fillId="0" fontId="3" numFmtId="1" xfId="0" applyAlignment="1" applyBorder="1" applyFont="1" applyNumberFormat="1">
      <alignment horizontal="center" readingOrder="0" shrinkToFit="0" wrapText="0"/>
    </xf>
    <xf borderId="11" fillId="0" fontId="3" numFmtId="1" xfId="0" applyAlignment="1" applyBorder="1" applyFont="1" applyNumberFormat="1">
      <alignment horizontal="center" shrinkToFit="0" wrapText="0"/>
    </xf>
    <xf borderId="12" fillId="3" fontId="3" numFmtId="0" xfId="0" applyAlignment="1" applyBorder="1" applyFill="1" applyFont="1">
      <alignment horizontal="center" shrinkToFit="0" wrapText="0"/>
    </xf>
    <xf borderId="13" fillId="3" fontId="3" numFmtId="0" xfId="0" applyAlignment="1" applyBorder="1" applyFont="1">
      <alignment horizontal="center" readingOrder="0" shrinkToFit="0" wrapText="0"/>
    </xf>
    <xf borderId="14" fillId="0" fontId="11" numFmtId="164" xfId="0" applyAlignment="1" applyBorder="1" applyFont="1" applyNumberFormat="1">
      <alignment horizontal="center" shrinkToFit="0" wrapText="0"/>
    </xf>
    <xf borderId="15" fillId="0" fontId="11" numFmtId="164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readingOrder="0" shrinkToFit="0" wrapText="0"/>
    </xf>
    <xf borderId="0" fillId="0" fontId="2" numFmtId="1" xfId="0" applyAlignment="1" applyFont="1" applyNumberFormat="1">
      <alignment shrinkToFit="0" wrapText="0"/>
    </xf>
    <xf borderId="11" fillId="2" fontId="12" numFmtId="1" xfId="0" applyAlignment="1" applyBorder="1" applyFont="1" applyNumberFormat="1">
      <alignment horizontal="center" readingOrder="0" shrinkToFit="0" vertical="bottom" wrapText="0"/>
    </xf>
    <xf borderId="8" fillId="0" fontId="3" numFmtId="1" xfId="0" applyAlignment="1" applyBorder="1" applyFont="1" applyNumberFormat="1">
      <alignment horizontal="center" readingOrder="0" shrinkToFit="0" wrapText="0"/>
    </xf>
    <xf borderId="8" fillId="0" fontId="3" numFmtId="1" xfId="0" applyAlignment="1" applyBorder="1" applyFont="1" applyNumberFormat="1">
      <alignment horizontal="center" shrinkToFit="0" wrapText="0"/>
    </xf>
    <xf borderId="8" fillId="3" fontId="3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horizontal="center" readingOrder="0" shrinkToFit="0" wrapText="0"/>
    </xf>
    <xf borderId="17" fillId="0" fontId="3" numFmtId="2" xfId="0" applyAlignment="1" applyBorder="1" applyFont="1" applyNumberFormat="1">
      <alignment horizontal="center" shrinkToFit="0" wrapText="0"/>
    </xf>
    <xf borderId="18" fillId="3" fontId="3" numFmtId="0" xfId="0" applyAlignment="1" applyBorder="1" applyFont="1">
      <alignment horizontal="center" readingOrder="0" shrinkToFit="0" wrapText="0"/>
    </xf>
    <xf borderId="19" fillId="0" fontId="11" numFmtId="164" xfId="0" applyAlignment="1" applyBorder="1" applyFont="1" applyNumberFormat="1">
      <alignment horizontal="center" shrinkToFit="0" wrapText="0"/>
    </xf>
    <xf borderId="16" fillId="0" fontId="11" numFmtId="0" xfId="0" applyAlignment="1" applyBorder="1" applyFont="1">
      <alignment horizontal="center" shrinkToFit="0" wrapText="0"/>
    </xf>
    <xf borderId="11" fillId="0" fontId="3" numFmtId="0" xfId="0" applyAlignment="1" applyBorder="1" applyFont="1">
      <alignment shrinkToFit="0" wrapText="0"/>
    </xf>
    <xf borderId="20" fillId="0" fontId="3" numFmtId="0" xfId="0" applyAlignment="1" applyBorder="1" applyFont="1">
      <alignment horizontal="center" readingOrder="0" shrinkToFit="0" wrapText="0"/>
    </xf>
    <xf borderId="21" fillId="0" fontId="3" numFmtId="0" xfId="0" applyAlignment="1" applyBorder="1" applyFont="1">
      <alignment horizontal="center" shrinkToFit="0" wrapText="0"/>
    </xf>
    <xf borderId="11" fillId="0" fontId="3" numFmtId="2" xfId="0" applyAlignment="1" applyBorder="1" applyFont="1" applyNumberFormat="1">
      <alignment horizontal="center" shrinkToFit="0" wrapText="0"/>
    </xf>
    <xf borderId="22" fillId="3" fontId="3" numFmtId="0" xfId="0" applyAlignment="1" applyBorder="1" applyFont="1">
      <alignment horizontal="center" readingOrder="0" shrinkToFit="0" wrapText="0"/>
    </xf>
    <xf borderId="10" fillId="0" fontId="3" numFmtId="0" xfId="0" applyAlignment="1" applyBorder="1" applyFont="1">
      <alignment horizontal="center" readingOrder="0" shrinkToFit="0" wrapText="0"/>
    </xf>
    <xf borderId="11" fillId="0" fontId="3" numFmtId="0" xfId="0" applyAlignment="1" applyBorder="1" applyFont="1">
      <alignment horizontal="center" readingOrder="0" shrinkToFit="0" wrapText="0"/>
    </xf>
    <xf borderId="18" fillId="0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shrinkToFit="0" wrapText="0"/>
    </xf>
    <xf borderId="9" fillId="3" fontId="3" numFmtId="0" xfId="0" applyAlignment="1" applyBorder="1" applyFont="1">
      <alignment horizontal="center" readingOrder="0" shrinkToFit="0" wrapText="0"/>
    </xf>
    <xf borderId="8" fillId="0" fontId="3" numFmtId="0" xfId="0" applyAlignment="1" applyBorder="1" applyFont="1">
      <alignment horizontal="center" readingOrder="0" shrinkToFit="0" wrapText="0"/>
    </xf>
    <xf borderId="11" fillId="0" fontId="3" numFmtId="0" xfId="0" applyAlignment="1" applyBorder="1" applyFont="1">
      <alignment horizontal="center" shrinkToFit="0" wrapText="0"/>
    </xf>
    <xf borderId="0" fillId="3" fontId="13" numFmtId="0" xfId="0" applyAlignment="1" applyFont="1">
      <alignment horizontal="left" readingOrder="0" shrinkToFit="0" wrapText="1"/>
    </xf>
    <xf borderId="9" fillId="0" fontId="3" numFmtId="0" xfId="0" applyAlignment="1" applyBorder="1" applyFont="1">
      <alignment horizontal="center" shrinkToFit="0" wrapText="0"/>
    </xf>
    <xf borderId="0" fillId="0" fontId="2" numFmtId="0" xfId="0" applyAlignment="1" applyFont="1">
      <alignment readingOrder="0" shrinkToFit="0" wrapText="0"/>
    </xf>
    <xf borderId="17" fillId="0" fontId="3" numFmtId="1" xfId="0" applyAlignment="1" applyBorder="1" applyFont="1" applyNumberFormat="1">
      <alignment horizontal="center" readingOrder="0" shrinkToFit="0" wrapText="0"/>
    </xf>
    <xf borderId="23" fillId="3" fontId="3" numFmtId="0" xfId="0" applyAlignment="1" applyBorder="1" applyFont="1">
      <alignment horizontal="center" shrinkToFit="0" wrapText="0"/>
    </xf>
    <xf borderId="17" fillId="0" fontId="3" numFmtId="1" xfId="0" applyAlignment="1" applyBorder="1" applyFont="1" applyNumberFormat="1">
      <alignment horizontal="center" shrinkToFit="0" wrapText="0"/>
    </xf>
    <xf borderId="0" fillId="0" fontId="2" numFmtId="2" xfId="0" applyAlignment="1" applyFont="1" applyNumberFormat="1">
      <alignment shrinkToFit="0" wrapText="0"/>
    </xf>
    <xf borderId="0" fillId="0" fontId="11" numFmtId="0" xfId="0" applyAlignment="1" applyFont="1">
      <alignment horizontal="center" readingOrder="0" shrinkToFit="0" wrapText="0"/>
    </xf>
    <xf borderId="0" fillId="0" fontId="11" numFmtId="0" xfId="0" applyAlignment="1" applyFont="1">
      <alignment horizontal="center" shrinkToFit="0" wrapText="0"/>
    </xf>
    <xf borderId="0" fillId="0" fontId="2" numFmtId="1" xfId="0" applyAlignment="1" applyFont="1" applyNumberFormat="1">
      <alignment readingOrder="0" shrinkToFit="0" wrapText="0"/>
    </xf>
    <xf borderId="0" fillId="0" fontId="3" numFmtId="0" xfId="0" applyAlignment="1" applyFont="1">
      <alignment horizontal="center" readingOrder="0" shrinkToFit="0" wrapText="0"/>
    </xf>
    <xf borderId="24" fillId="0" fontId="3" numFmtId="0" xfId="0" applyAlignment="1" applyBorder="1" applyFont="1">
      <alignment horizontal="center" readingOrder="0" shrinkToFit="0" wrapText="0"/>
    </xf>
    <xf borderId="24" fillId="0" fontId="3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center" readingOrder="0" shrinkToFit="0" wrapText="0"/>
    </xf>
    <xf borderId="0" fillId="0" fontId="3" numFmtId="1" xfId="0" applyAlignment="1" applyFont="1" applyNumberFormat="1">
      <alignment horizontal="center" shrinkToFit="0" wrapText="0"/>
    </xf>
    <xf borderId="25" fillId="0" fontId="3" numFmtId="0" xfId="0" applyAlignment="1" applyBorder="1" applyFont="1">
      <alignment horizontal="center" shrinkToFit="0" wrapText="0"/>
    </xf>
    <xf borderId="25" fillId="0" fontId="14" numFmtId="0" xfId="0" applyAlignment="1" applyBorder="1" applyFont="1">
      <alignment shrinkToFit="0" wrapText="1"/>
    </xf>
    <xf borderId="7" fillId="3" fontId="9" numFmtId="1" xfId="0" applyAlignment="1" applyBorder="1" applyFont="1" applyNumberFormat="1">
      <alignment horizontal="center" shrinkToFit="0" wrapText="0"/>
    </xf>
    <xf borderId="25" fillId="0" fontId="2" numFmtId="1" xfId="0" applyAlignment="1" applyBorder="1" applyFont="1" applyNumberFormat="1">
      <alignment shrinkToFit="0" wrapText="0"/>
    </xf>
    <xf borderId="6" fillId="2" fontId="10" numFmtId="1" xfId="0" applyAlignment="1" applyBorder="1" applyFont="1" applyNumberFormat="1">
      <alignment horizontal="center" shrinkToFit="0" wrapText="0"/>
    </xf>
    <xf borderId="26" fillId="3" fontId="10" numFmtId="2" xfId="0" applyAlignment="1" applyBorder="1" applyFont="1" applyNumberFormat="1">
      <alignment horizontal="center" shrinkToFit="0" wrapText="0"/>
    </xf>
    <xf borderId="2" fillId="3" fontId="10" numFmtId="2" xfId="0" applyAlignment="1" applyBorder="1" applyFont="1" applyNumberFormat="1">
      <alignment horizontal="center" shrinkToFit="0" wrapText="0"/>
    </xf>
    <xf borderId="27" fillId="3" fontId="9" numFmtId="2" xfId="0" applyAlignment="1" applyBorder="1" applyFont="1" applyNumberFormat="1">
      <alignment horizontal="center" shrinkToFit="0" wrapText="0"/>
    </xf>
    <xf borderId="27" fillId="3" fontId="2" numFmtId="0" xfId="0" applyAlignment="1" applyBorder="1" applyFont="1">
      <alignment horizontal="center" shrinkToFit="0" wrapText="0"/>
    </xf>
    <xf borderId="25" fillId="0" fontId="2" numFmtId="0" xfId="0" applyAlignment="1" applyBorder="1" applyFont="1">
      <alignment shrinkToFit="0" wrapText="0"/>
    </xf>
    <xf borderId="27" fillId="3" fontId="8" numFmtId="164" xfId="0" applyAlignment="1" applyBorder="1" applyFont="1" applyNumberFormat="1">
      <alignment horizontal="center" shrinkToFit="0" wrapText="0"/>
    </xf>
    <xf borderId="7" fillId="3" fontId="8" numFmtId="2" xfId="0" applyAlignment="1" applyBorder="1" applyFont="1" applyNumberFormat="1">
      <alignment horizontal="center" shrinkToFit="0" wrapText="0"/>
    </xf>
    <xf borderId="28" fillId="3" fontId="2" numFmtId="1" xfId="0" applyAlignment="1" applyBorder="1" applyFont="1" applyNumberFormat="1">
      <alignment shrinkToFit="0" wrapText="0"/>
    </xf>
    <xf borderId="0" fillId="0" fontId="15" numFmtId="49" xfId="0" applyAlignment="1" applyFont="1" applyNumberFormat="1">
      <alignment shrinkToFit="0" wrapText="0"/>
    </xf>
    <xf borderId="0" fillId="0" fontId="1" numFmtId="0" xfId="0" applyAlignment="1" applyFont="1">
      <alignment shrinkToFit="0" wrapText="0"/>
    </xf>
    <xf borderId="2" fillId="3" fontId="1" numFmtId="0" xfId="0" applyAlignment="1" applyBorder="1" applyFont="1">
      <alignment horizontal="center" shrinkToFit="0" wrapText="0"/>
    </xf>
    <xf borderId="2" fillId="0" fontId="1" numFmtId="2" xfId="0" applyAlignment="1" applyBorder="1" applyFont="1" applyNumberFormat="1">
      <alignment horizontal="center" readingOrder="0" shrinkToFit="0" wrapText="0"/>
    </xf>
    <xf borderId="0" fillId="0" fontId="1" numFmtId="2" xfId="0" applyAlignment="1" applyFont="1" applyNumberFormat="1">
      <alignment shrinkToFit="0" wrapText="0"/>
    </xf>
    <xf borderId="0" fillId="0" fontId="11" numFmtId="0" xfId="0" applyAlignment="1" applyFont="1">
      <alignment readingOrder="0" shrinkToFit="0" wrapText="0"/>
    </xf>
    <xf borderId="0" fillId="0" fontId="11" numFmtId="0" xfId="0" applyAlignment="1" applyFont="1">
      <alignment shrinkToFit="0" wrapText="0"/>
    </xf>
    <xf borderId="28" fillId="3" fontId="1" numFmtId="0" xfId="0" applyAlignment="1" applyBorder="1" applyFont="1">
      <alignment horizontal="center" shrinkToFit="0" wrapText="0"/>
    </xf>
    <xf borderId="0" fillId="0" fontId="3" numFmtId="1" xfId="0" applyAlignment="1" applyFont="1" applyNumberFormat="1">
      <alignment horizontal="left" shrinkToFit="0" wrapText="0"/>
    </xf>
    <xf borderId="0" fillId="0" fontId="3" numFmtId="2" xfId="0" applyAlignment="1" applyFont="1" applyNumberFormat="1">
      <alignment horizontal="left" shrinkToFit="0" wrapText="0"/>
    </xf>
    <xf borderId="0" fillId="0" fontId="3" numFmtId="0" xfId="0" applyAlignment="1" applyFont="1">
      <alignment horizontal="left" readingOrder="0" shrinkToFit="0" wrapText="0"/>
    </xf>
    <xf borderId="0" fillId="0" fontId="16" numFmtId="0" xfId="0" applyAlignment="1" applyFont="1">
      <alignment shrinkToFit="0" wrapText="0"/>
    </xf>
    <xf borderId="0" fillId="3" fontId="17" numFmtId="0" xfId="0" applyAlignment="1" applyFont="1">
      <alignment horizontal="left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xSplit="3.0" ySplit="3.0" topLeftCell="D4" activePane="bottomRight" state="frozen"/>
      <selection activeCell="D1" sqref="D1" pane="topRight"/>
      <selection activeCell="A4" sqref="A4" pane="bottomLeft"/>
      <selection activeCell="D4" sqref="D4" pane="bottomRight"/>
    </sheetView>
  </sheetViews>
  <sheetFormatPr customHeight="1" defaultColWidth="15.13" defaultRowHeight="15.75"/>
  <cols>
    <col customWidth="1" min="1" max="1" width="10.63"/>
    <col customWidth="1" min="2" max="2" width="7.63"/>
    <col customWidth="1" min="3" max="3" width="6.38"/>
    <col customWidth="1" min="4" max="4" width="22.5"/>
    <col customWidth="1" hidden="1" min="5" max="5" width="0.13"/>
    <col customWidth="1" min="6" max="6" width="3.38"/>
    <col customWidth="1" min="7" max="13" width="2.63"/>
    <col customWidth="1" hidden="1" min="14" max="14" width="2.63"/>
    <col customWidth="1" min="15" max="15" width="4.0"/>
    <col customWidth="1" min="16" max="22" width="2.63"/>
    <col customWidth="1" min="23" max="23" width="2.75"/>
    <col customWidth="1" min="24" max="25" width="2.63"/>
    <col customWidth="1" min="26" max="26" width="19.13"/>
    <col customWidth="1" min="27" max="27" width="21.13"/>
    <col customWidth="1" min="28" max="28" width="13.63"/>
    <col customWidth="1" min="29" max="29" width="15.0"/>
    <col customWidth="1" min="30" max="30" width="15.63"/>
    <col customWidth="1" min="31" max="31" width="4.13"/>
    <col customWidth="1" min="32" max="32" width="13.38"/>
    <col customWidth="1" min="33" max="33" width="2.5"/>
    <col customWidth="1" min="34" max="34" width="5.75"/>
    <col customWidth="1" min="35" max="35" width="6.13"/>
    <col customWidth="1" min="36" max="36" width="2.63"/>
    <col customWidth="1" min="37" max="37" width="1.88"/>
    <col customWidth="1" min="38" max="38" width="4.5"/>
    <col customWidth="1" min="39" max="39" width="10.0"/>
    <col customWidth="1" min="40" max="40" width="7.0"/>
    <col customWidth="1" min="41" max="49" width="7.75"/>
    <col customWidth="1" min="50" max="50" width="10.13"/>
  </cols>
  <sheetData>
    <row r="1" ht="18.0" customHeight="1">
      <c r="A1" s="1"/>
      <c r="B1" s="1"/>
      <c r="C1" s="2"/>
      <c r="D1" s="3" t="s">
        <v>0</v>
      </c>
      <c r="E1" s="3"/>
      <c r="F1" s="4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/>
      <c r="AB1" s="5"/>
      <c r="AC1" s="5"/>
      <c r="AD1" s="3"/>
      <c r="AE1" s="3"/>
      <c r="AF1" s="6"/>
      <c r="AG1" s="6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</row>
    <row r="2" ht="36.75" customHeight="1">
      <c r="A2" s="7" t="s">
        <v>1</v>
      </c>
      <c r="B2" s="7" t="s">
        <v>2</v>
      </c>
      <c r="C2" s="8" t="s">
        <v>3</v>
      </c>
      <c r="D2" s="9"/>
      <c r="E2" s="9"/>
      <c r="F2" s="10"/>
      <c r="G2" s="8"/>
      <c r="H2" s="8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1" t="s">
        <v>4</v>
      </c>
      <c r="Z2" s="12" t="s">
        <v>5</v>
      </c>
      <c r="AA2" s="12" t="s">
        <v>6</v>
      </c>
      <c r="AB2" s="12" t="s">
        <v>7</v>
      </c>
      <c r="AC2" s="13"/>
      <c r="AD2" s="14" t="s">
        <v>8</v>
      </c>
      <c r="AE2" s="15" t="s">
        <v>9</v>
      </c>
      <c r="AF2" s="16" t="s">
        <v>10</v>
      </c>
      <c r="AG2" s="17" t="s">
        <v>11</v>
      </c>
      <c r="AH2" s="18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</row>
    <row r="3" ht="36.75" customHeight="1">
      <c r="A3" s="20"/>
      <c r="B3" s="20"/>
      <c r="C3" s="21"/>
      <c r="D3" s="22" t="s">
        <v>12</v>
      </c>
      <c r="E3" s="22" t="s">
        <v>13</v>
      </c>
      <c r="F3" s="22" t="s">
        <v>14</v>
      </c>
      <c r="G3" s="23" t="s">
        <v>15</v>
      </c>
      <c r="H3" s="23" t="s">
        <v>16</v>
      </c>
      <c r="I3" s="23" t="s">
        <v>17</v>
      </c>
      <c r="J3" s="23" t="s">
        <v>18</v>
      </c>
      <c r="K3" s="22" t="s">
        <v>19</v>
      </c>
      <c r="L3" s="23" t="s">
        <v>20</v>
      </c>
      <c r="M3" s="23" t="s">
        <v>21</v>
      </c>
      <c r="N3" s="23" t="s">
        <v>22</v>
      </c>
      <c r="O3" s="23" t="s">
        <v>22</v>
      </c>
      <c r="P3" s="23" t="s">
        <v>23</v>
      </c>
      <c r="Q3" s="23" t="s">
        <v>24</v>
      </c>
      <c r="R3" s="23" t="s">
        <v>25</v>
      </c>
      <c r="S3" s="23" t="s">
        <v>26</v>
      </c>
      <c r="T3" s="23" t="s">
        <v>27</v>
      </c>
      <c r="U3" s="23" t="s">
        <v>28</v>
      </c>
      <c r="V3" s="23" t="s">
        <v>29</v>
      </c>
      <c r="W3" s="23" t="s">
        <v>30</v>
      </c>
      <c r="X3" s="24" t="s">
        <v>31</v>
      </c>
      <c r="Y3" s="25"/>
      <c r="Z3" s="26"/>
      <c r="AA3" s="26"/>
      <c r="AB3" s="26"/>
      <c r="AC3" s="22" t="s">
        <v>32</v>
      </c>
      <c r="AD3" s="27"/>
      <c r="AE3" s="28" t="s">
        <v>33</v>
      </c>
      <c r="AF3" s="28"/>
      <c r="AG3" s="29"/>
      <c r="AH3" s="30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ht="12.75" customHeight="1">
      <c r="A4" s="31">
        <v>31.0</v>
      </c>
      <c r="B4" s="31">
        <v>1.0</v>
      </c>
      <c r="C4" s="32">
        <v>69.0</v>
      </c>
      <c r="D4" s="33" t="s">
        <v>34</v>
      </c>
      <c r="E4" s="34"/>
      <c r="F4" s="35">
        <v>10.0</v>
      </c>
      <c r="G4" s="35">
        <v>10.0</v>
      </c>
      <c r="H4" s="35">
        <v>10.0</v>
      </c>
      <c r="I4" s="35">
        <v>10.0</v>
      </c>
      <c r="J4" s="35">
        <v>10.0</v>
      </c>
      <c r="K4" s="35">
        <v>10.0</v>
      </c>
      <c r="L4" s="35"/>
      <c r="M4" s="35">
        <v>10.0</v>
      </c>
      <c r="N4" s="35"/>
      <c r="O4" s="35">
        <v>10.0</v>
      </c>
      <c r="P4" s="35">
        <v>10.0</v>
      </c>
      <c r="Q4" s="35">
        <v>10.0</v>
      </c>
      <c r="R4" s="35">
        <v>10.0</v>
      </c>
      <c r="S4" s="35">
        <v>10.0</v>
      </c>
      <c r="T4" s="35">
        <v>10.0</v>
      </c>
      <c r="U4" s="35">
        <v>10.0</v>
      </c>
      <c r="V4" s="35">
        <v>10.0</v>
      </c>
      <c r="W4" s="35">
        <v>10.0</v>
      </c>
      <c r="X4" s="36">
        <v>10.0</v>
      </c>
      <c r="Y4" s="37">
        <f t="shared" ref="Y4:Y8" si="1">COUNTA(F4:X4)</f>
        <v>17</v>
      </c>
      <c r="Z4" s="38">
        <f t="shared" ref="Z4:Z151" si="2">+AB4/AA4</f>
        <v>16</v>
      </c>
      <c r="AA4" s="39">
        <v>5.0</v>
      </c>
      <c r="AB4" s="40">
        <f>16+16+16+16+16</f>
        <v>80</v>
      </c>
      <c r="AC4" s="41">
        <f t="shared" ref="AC4:AC151" si="3">SUM(F4:X4)</f>
        <v>170</v>
      </c>
      <c r="AD4" s="42">
        <v>15.0</v>
      </c>
      <c r="AE4" s="43">
        <f t="shared" ref="AE4:AE151" si="4">SUM(AC4:AD4)</f>
        <v>185</v>
      </c>
      <c r="AF4" s="44">
        <f t="shared" ref="AF4:AF151" si="5">+AE4/Z4*$Z$152</f>
        <v>141.3052145</v>
      </c>
      <c r="AG4" s="45"/>
      <c r="AH4" s="46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</row>
    <row r="5" ht="12.75" customHeight="1">
      <c r="A5" s="47">
        <v>27.0</v>
      </c>
      <c r="B5" s="47">
        <v>2.0</v>
      </c>
      <c r="C5" s="32">
        <v>100.0</v>
      </c>
      <c r="D5" s="33" t="s">
        <v>35</v>
      </c>
      <c r="E5" s="34"/>
      <c r="F5" s="35">
        <v>9.0</v>
      </c>
      <c r="G5" s="35">
        <v>9.0</v>
      </c>
      <c r="H5" s="35">
        <v>10.0</v>
      </c>
      <c r="I5" s="35">
        <v>10.0</v>
      </c>
      <c r="J5" s="35">
        <v>10.0</v>
      </c>
      <c r="K5" s="35">
        <v>10.0</v>
      </c>
      <c r="L5" s="35"/>
      <c r="M5" s="35">
        <v>10.0</v>
      </c>
      <c r="N5" s="35"/>
      <c r="O5" s="35">
        <v>10.0</v>
      </c>
      <c r="P5" s="35">
        <v>10.0</v>
      </c>
      <c r="Q5" s="35">
        <v>10.0</v>
      </c>
      <c r="R5" s="35">
        <v>10.0</v>
      </c>
      <c r="S5" s="35">
        <v>10.0</v>
      </c>
      <c r="T5" s="35">
        <v>10.0</v>
      </c>
      <c r="U5" s="35">
        <v>10.0</v>
      </c>
      <c r="V5" s="35">
        <v>10.0</v>
      </c>
      <c r="W5" s="35">
        <v>10.0</v>
      </c>
      <c r="X5" s="36">
        <v>10.0</v>
      </c>
      <c r="Y5" s="37">
        <f t="shared" si="1"/>
        <v>17</v>
      </c>
      <c r="Z5" s="38">
        <f t="shared" si="2"/>
        <v>15.16666667</v>
      </c>
      <c r="AA5" s="48">
        <v>6.0</v>
      </c>
      <c r="AB5" s="49">
        <f>14+13+17+17+17+13</f>
        <v>91</v>
      </c>
      <c r="AC5" s="50">
        <f t="shared" si="3"/>
        <v>168</v>
      </c>
      <c r="AD5" s="42">
        <v>15.0</v>
      </c>
      <c r="AE5" s="43">
        <f t="shared" si="4"/>
        <v>183</v>
      </c>
      <c r="AF5" s="44">
        <f t="shared" si="5"/>
        <v>147.457678</v>
      </c>
      <c r="AG5" s="45"/>
      <c r="AH5" s="46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</row>
    <row r="6" ht="12.75" customHeight="1">
      <c r="A6" s="47">
        <v>8.0</v>
      </c>
      <c r="B6" s="47">
        <v>3.0</v>
      </c>
      <c r="C6" s="32">
        <v>81.0</v>
      </c>
      <c r="D6" s="33" t="s">
        <v>36</v>
      </c>
      <c r="E6" s="34"/>
      <c r="F6" s="35">
        <v>10.0</v>
      </c>
      <c r="G6" s="35">
        <v>8.0</v>
      </c>
      <c r="H6" s="35">
        <v>10.0</v>
      </c>
      <c r="I6" s="35">
        <v>10.0</v>
      </c>
      <c r="J6" s="35">
        <v>10.0</v>
      </c>
      <c r="K6" s="35">
        <v>10.0</v>
      </c>
      <c r="L6" s="35"/>
      <c r="M6" s="35">
        <v>10.0</v>
      </c>
      <c r="N6" s="35"/>
      <c r="O6" s="35">
        <v>10.0</v>
      </c>
      <c r="P6" s="35">
        <v>10.0</v>
      </c>
      <c r="Q6" s="35">
        <v>10.0</v>
      </c>
      <c r="R6" s="35">
        <v>10.0</v>
      </c>
      <c r="S6" s="35">
        <v>10.0</v>
      </c>
      <c r="T6" s="35">
        <v>8.0</v>
      </c>
      <c r="U6" s="35">
        <v>10.0</v>
      </c>
      <c r="V6" s="35">
        <v>10.0</v>
      </c>
      <c r="W6" s="35">
        <v>10.0</v>
      </c>
      <c r="X6" s="36">
        <v>10.0</v>
      </c>
      <c r="Y6" s="37">
        <f t="shared" si="1"/>
        <v>17</v>
      </c>
      <c r="Z6" s="38">
        <f t="shared" si="2"/>
        <v>13.33333333</v>
      </c>
      <c r="AA6" s="48">
        <v>3.0</v>
      </c>
      <c r="AB6" s="48">
        <f>12+15+13</f>
        <v>40</v>
      </c>
      <c r="AC6" s="50">
        <f t="shared" si="3"/>
        <v>166</v>
      </c>
      <c r="AD6" s="42">
        <v>15.0</v>
      </c>
      <c r="AE6" s="43">
        <f t="shared" si="4"/>
        <v>181</v>
      </c>
      <c r="AF6" s="44">
        <f t="shared" si="5"/>
        <v>165.89996</v>
      </c>
      <c r="AG6" s="45"/>
      <c r="AH6" s="46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ht="12.75" customHeight="1">
      <c r="A7" s="31">
        <v>37.0</v>
      </c>
      <c r="B7" s="47">
        <v>4.0</v>
      </c>
      <c r="C7" s="32">
        <v>80.0</v>
      </c>
      <c r="D7" s="33" t="s">
        <v>37</v>
      </c>
      <c r="E7" s="34"/>
      <c r="F7" s="35">
        <v>9.0</v>
      </c>
      <c r="G7" s="35">
        <v>10.0</v>
      </c>
      <c r="H7" s="35">
        <v>8.0</v>
      </c>
      <c r="I7" s="35">
        <v>10.0</v>
      </c>
      <c r="J7" s="35">
        <v>10.0</v>
      </c>
      <c r="K7" s="35">
        <v>10.0</v>
      </c>
      <c r="L7" s="35"/>
      <c r="M7" s="35">
        <v>10.0</v>
      </c>
      <c r="N7" s="35"/>
      <c r="O7" s="51">
        <v>10.0</v>
      </c>
      <c r="P7" s="35">
        <v>10.0</v>
      </c>
      <c r="Q7" s="35">
        <v>10.0</v>
      </c>
      <c r="R7" s="35">
        <v>9.0</v>
      </c>
      <c r="S7" s="35">
        <v>10.0</v>
      </c>
      <c r="T7" s="35">
        <v>9.0</v>
      </c>
      <c r="U7" s="35">
        <v>10.0</v>
      </c>
      <c r="V7" s="35">
        <v>10.0</v>
      </c>
      <c r="W7" s="35">
        <v>10.0</v>
      </c>
      <c r="X7" s="35">
        <v>10.0</v>
      </c>
      <c r="Y7" s="37">
        <f t="shared" si="1"/>
        <v>17</v>
      </c>
      <c r="Z7" s="38">
        <f t="shared" si="2"/>
        <v>16.25</v>
      </c>
      <c r="AA7" s="48">
        <v>4.0</v>
      </c>
      <c r="AB7" s="48">
        <f>17+15+17+16</f>
        <v>65</v>
      </c>
      <c r="AC7" s="50">
        <f t="shared" si="3"/>
        <v>165</v>
      </c>
      <c r="AD7" s="42">
        <v>15.0</v>
      </c>
      <c r="AE7" s="43">
        <f t="shared" si="4"/>
        <v>180</v>
      </c>
      <c r="AF7" s="44">
        <f t="shared" si="5"/>
        <v>135.3709831</v>
      </c>
      <c r="AG7" s="45" t="s">
        <v>18</v>
      </c>
      <c r="AH7" s="46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</row>
    <row r="8" ht="12.75" customHeight="1">
      <c r="A8" s="47">
        <v>2.0</v>
      </c>
      <c r="B8" s="31">
        <v>5.0</v>
      </c>
      <c r="C8" s="32">
        <v>8.0</v>
      </c>
      <c r="D8" s="33" t="s">
        <v>38</v>
      </c>
      <c r="E8" s="34"/>
      <c r="F8" s="35">
        <v>8.0</v>
      </c>
      <c r="G8" s="35">
        <v>10.0</v>
      </c>
      <c r="H8" s="35">
        <v>10.0</v>
      </c>
      <c r="I8" s="35">
        <v>9.0</v>
      </c>
      <c r="J8" s="35">
        <v>10.0</v>
      </c>
      <c r="K8" s="35">
        <v>10.0</v>
      </c>
      <c r="L8" s="35"/>
      <c r="M8" s="35">
        <v>9.0</v>
      </c>
      <c r="N8" s="35"/>
      <c r="O8" s="35">
        <v>10.0</v>
      </c>
      <c r="P8" s="35">
        <v>9.8</v>
      </c>
      <c r="Q8" s="35">
        <v>10.0</v>
      </c>
      <c r="R8" s="35">
        <v>10.0</v>
      </c>
      <c r="S8" s="35">
        <v>10.0</v>
      </c>
      <c r="T8" s="35">
        <v>10.0</v>
      </c>
      <c r="U8" s="35">
        <v>9.0</v>
      </c>
      <c r="V8" s="35">
        <v>10.0</v>
      </c>
      <c r="W8" s="35">
        <v>10.0</v>
      </c>
      <c r="X8" s="36">
        <v>9.0</v>
      </c>
      <c r="Y8" s="37">
        <f t="shared" si="1"/>
        <v>17</v>
      </c>
      <c r="Z8" s="52">
        <f t="shared" si="2"/>
        <v>12</v>
      </c>
      <c r="AA8" s="48">
        <v>7.0</v>
      </c>
      <c r="AB8" s="49">
        <f>13+12+13+12+12+11+11</f>
        <v>84</v>
      </c>
      <c r="AC8" s="50">
        <f t="shared" si="3"/>
        <v>163.8</v>
      </c>
      <c r="AD8" s="53">
        <v>15.0</v>
      </c>
      <c r="AE8" s="54">
        <f t="shared" si="4"/>
        <v>178.8</v>
      </c>
      <c r="AF8" s="44">
        <f t="shared" si="5"/>
        <v>182.0927738</v>
      </c>
      <c r="AG8" s="45"/>
      <c r="AH8" s="46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</row>
    <row r="9" ht="12.75" customHeight="1">
      <c r="A9" s="47">
        <v>3.0</v>
      </c>
      <c r="B9" s="31">
        <v>6.0</v>
      </c>
      <c r="C9" s="32">
        <v>78.0</v>
      </c>
      <c r="D9" s="33" t="s">
        <v>39</v>
      </c>
      <c r="E9" s="34"/>
      <c r="F9" s="35">
        <v>10.0</v>
      </c>
      <c r="G9" s="35">
        <v>10.0</v>
      </c>
      <c r="H9" s="35">
        <v>10.0</v>
      </c>
      <c r="I9" s="35">
        <v>10.0</v>
      </c>
      <c r="J9" s="35">
        <v>10.0</v>
      </c>
      <c r="K9" s="35">
        <v>10.0</v>
      </c>
      <c r="L9" s="35"/>
      <c r="M9" s="35">
        <v>10.0</v>
      </c>
      <c r="N9" s="35"/>
      <c r="O9" s="35">
        <v>10.0</v>
      </c>
      <c r="P9" s="35">
        <v>9.5</v>
      </c>
      <c r="Q9" s="35">
        <v>10.0</v>
      </c>
      <c r="R9" s="35">
        <v>8.0</v>
      </c>
      <c r="S9" s="35">
        <v>10.0</v>
      </c>
      <c r="T9" s="35">
        <v>10.0</v>
      </c>
      <c r="U9" s="35">
        <v>10.0</v>
      </c>
      <c r="V9" s="35">
        <v>9.0</v>
      </c>
      <c r="W9" s="35">
        <v>10.0</v>
      </c>
      <c r="X9" s="36">
        <v>7.0</v>
      </c>
      <c r="Y9" s="37"/>
      <c r="Z9" s="38">
        <f t="shared" si="2"/>
        <v>12.8</v>
      </c>
      <c r="AA9" s="48">
        <v>5.0</v>
      </c>
      <c r="AB9" s="49">
        <f>12+12+13+13+14</f>
        <v>64</v>
      </c>
      <c r="AC9" s="50">
        <f t="shared" si="3"/>
        <v>163.5</v>
      </c>
      <c r="AD9" s="42">
        <v>15.0</v>
      </c>
      <c r="AE9" s="43">
        <f t="shared" si="4"/>
        <v>178.5</v>
      </c>
      <c r="AF9" s="44">
        <f t="shared" si="5"/>
        <v>170.4255459</v>
      </c>
      <c r="AG9" s="45"/>
      <c r="AH9" s="46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</row>
    <row r="10" ht="12.75" customHeight="1">
      <c r="A10" s="31">
        <v>1.0</v>
      </c>
      <c r="B10" s="47">
        <v>7.0</v>
      </c>
      <c r="C10" s="32">
        <v>133.0</v>
      </c>
      <c r="D10" s="33" t="s">
        <v>40</v>
      </c>
      <c r="E10" s="34"/>
      <c r="F10" s="35">
        <v>9.0</v>
      </c>
      <c r="G10" s="35">
        <v>9.0</v>
      </c>
      <c r="H10" s="35">
        <v>10.0</v>
      </c>
      <c r="I10" s="35">
        <v>9.0</v>
      </c>
      <c r="J10" s="35">
        <v>10.0</v>
      </c>
      <c r="K10" s="35">
        <v>10.0</v>
      </c>
      <c r="L10" s="35"/>
      <c r="M10" s="35">
        <v>10.0</v>
      </c>
      <c r="N10" s="35"/>
      <c r="O10" s="35">
        <v>10.0</v>
      </c>
      <c r="P10" s="35">
        <v>10.0</v>
      </c>
      <c r="Q10" s="35">
        <v>10.0</v>
      </c>
      <c r="R10" s="35">
        <v>8.0</v>
      </c>
      <c r="S10" s="35">
        <v>9.0</v>
      </c>
      <c r="T10" s="35">
        <v>10.0</v>
      </c>
      <c r="U10" s="35">
        <v>9.0</v>
      </c>
      <c r="V10" s="35">
        <v>10.0</v>
      </c>
      <c r="W10" s="35">
        <v>10.0</v>
      </c>
      <c r="X10" s="36">
        <v>9.0</v>
      </c>
      <c r="Y10" s="37">
        <f t="shared" ref="Y10:Y22" si="6">COUNTA(F10:X10)</f>
        <v>17</v>
      </c>
      <c r="Z10" s="52">
        <f t="shared" si="2"/>
        <v>11.4</v>
      </c>
      <c r="AA10" s="48">
        <v>5.0</v>
      </c>
      <c r="AB10" s="48">
        <f>12+13++12+11+9</f>
        <v>57</v>
      </c>
      <c r="AC10" s="50">
        <f t="shared" si="3"/>
        <v>162</v>
      </c>
      <c r="AD10" s="53">
        <v>15.0</v>
      </c>
      <c r="AE10" s="54">
        <f t="shared" si="4"/>
        <v>177</v>
      </c>
      <c r="AF10" s="44">
        <f t="shared" si="5"/>
        <v>189.7469737</v>
      </c>
      <c r="AG10" s="55"/>
      <c r="AH10" s="46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</row>
    <row r="11" ht="12.75" customHeight="1">
      <c r="A11" s="47">
        <v>6.0</v>
      </c>
      <c r="B11" s="47">
        <v>8.0</v>
      </c>
      <c r="C11" s="32">
        <v>92.0</v>
      </c>
      <c r="D11" s="33" t="s">
        <v>41</v>
      </c>
      <c r="E11" s="34"/>
      <c r="F11" s="35">
        <v>10.0</v>
      </c>
      <c r="G11" s="35">
        <v>9.0</v>
      </c>
      <c r="H11" s="35">
        <v>10.0</v>
      </c>
      <c r="I11" s="35">
        <v>8.0</v>
      </c>
      <c r="J11" s="35">
        <v>10.0</v>
      </c>
      <c r="K11" s="35">
        <v>10.0</v>
      </c>
      <c r="L11" s="35"/>
      <c r="M11" s="35">
        <v>8.0</v>
      </c>
      <c r="N11" s="35"/>
      <c r="O11" s="35">
        <v>10.0</v>
      </c>
      <c r="P11" s="35">
        <v>10.0</v>
      </c>
      <c r="Q11" s="35">
        <v>10.0</v>
      </c>
      <c r="R11" s="35">
        <v>9.0</v>
      </c>
      <c r="S11" s="35">
        <v>9.0</v>
      </c>
      <c r="T11" s="35">
        <v>9.0</v>
      </c>
      <c r="U11" s="35">
        <v>10.0</v>
      </c>
      <c r="V11" s="35">
        <v>9.0</v>
      </c>
      <c r="W11" s="35">
        <v>10.0</v>
      </c>
      <c r="X11" s="36">
        <v>10.0</v>
      </c>
      <c r="Y11" s="37">
        <f t="shared" si="6"/>
        <v>17</v>
      </c>
      <c r="Z11" s="52">
        <f t="shared" si="2"/>
        <v>12.83333333</v>
      </c>
      <c r="AA11" s="48">
        <v>6.0</v>
      </c>
      <c r="AB11" s="49">
        <f>14+11+14+14+10+14</f>
        <v>77</v>
      </c>
      <c r="AC11" s="50">
        <f t="shared" si="3"/>
        <v>161</v>
      </c>
      <c r="AD11" s="53">
        <v>15.0</v>
      </c>
      <c r="AE11" s="54">
        <f t="shared" si="4"/>
        <v>176</v>
      </c>
      <c r="AF11" s="44">
        <f t="shared" si="5"/>
        <v>167.6021695</v>
      </c>
      <c r="AG11" s="45"/>
      <c r="AH11" s="46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</row>
    <row r="12" ht="12.75" customHeight="1">
      <c r="A12" s="47">
        <v>20.0</v>
      </c>
      <c r="B12" s="47">
        <v>9.0</v>
      </c>
      <c r="C12" s="32">
        <v>20.0</v>
      </c>
      <c r="D12" s="33" t="s">
        <v>42</v>
      </c>
      <c r="E12" s="34"/>
      <c r="F12" s="35">
        <v>10.0</v>
      </c>
      <c r="G12" s="35">
        <v>8.0</v>
      </c>
      <c r="H12" s="35">
        <v>10.0</v>
      </c>
      <c r="I12" s="35">
        <v>8.0</v>
      </c>
      <c r="J12" s="35">
        <v>10.0</v>
      </c>
      <c r="K12" s="35">
        <v>10.0</v>
      </c>
      <c r="L12" s="35"/>
      <c r="M12" s="35">
        <v>7.0</v>
      </c>
      <c r="N12" s="35"/>
      <c r="O12" s="35">
        <v>10.0</v>
      </c>
      <c r="P12" s="35">
        <v>10.0</v>
      </c>
      <c r="Q12" s="35">
        <v>10.0</v>
      </c>
      <c r="R12" s="35">
        <v>10.0</v>
      </c>
      <c r="S12" s="35">
        <v>9.0</v>
      </c>
      <c r="T12" s="35">
        <v>10.0</v>
      </c>
      <c r="U12" s="35">
        <v>9.0</v>
      </c>
      <c r="V12" s="35">
        <v>10.0</v>
      </c>
      <c r="W12" s="35">
        <v>10.0</v>
      </c>
      <c r="X12" s="36">
        <v>10.0</v>
      </c>
      <c r="Y12" s="37">
        <f t="shared" si="6"/>
        <v>17</v>
      </c>
      <c r="Z12" s="38">
        <f t="shared" si="2"/>
        <v>13.85714286</v>
      </c>
      <c r="AA12" s="48">
        <v>7.0</v>
      </c>
      <c r="AB12" s="49">
        <f>14+14+14+14+14+14+13</f>
        <v>97</v>
      </c>
      <c r="AC12" s="50">
        <f t="shared" si="3"/>
        <v>161</v>
      </c>
      <c r="AD12" s="42">
        <v>15.0</v>
      </c>
      <c r="AE12" s="43">
        <f t="shared" si="4"/>
        <v>176</v>
      </c>
      <c r="AF12" s="44">
        <f t="shared" si="5"/>
        <v>155.2191914</v>
      </c>
      <c r="AG12" s="45"/>
      <c r="AH12" s="46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</row>
    <row r="13" ht="12.75" customHeight="1">
      <c r="A13" s="31">
        <v>26.0</v>
      </c>
      <c r="B13" s="31">
        <v>10.0</v>
      </c>
      <c r="C13" s="32">
        <v>116.0</v>
      </c>
      <c r="D13" s="33" t="s">
        <v>43</v>
      </c>
      <c r="E13" s="34"/>
      <c r="F13" s="35">
        <v>9.0</v>
      </c>
      <c r="G13" s="35">
        <v>9.0</v>
      </c>
      <c r="H13" s="35">
        <v>10.0</v>
      </c>
      <c r="I13" s="35">
        <v>9.0</v>
      </c>
      <c r="J13" s="35">
        <v>10.0</v>
      </c>
      <c r="K13" s="35">
        <v>10.0</v>
      </c>
      <c r="L13" s="35"/>
      <c r="M13" s="35">
        <v>9.0</v>
      </c>
      <c r="N13" s="35"/>
      <c r="O13" s="35">
        <v>10.0</v>
      </c>
      <c r="P13" s="35">
        <v>9.5</v>
      </c>
      <c r="Q13" s="35">
        <v>10.0</v>
      </c>
      <c r="R13" s="35">
        <v>8.0</v>
      </c>
      <c r="S13" s="35">
        <v>9.0</v>
      </c>
      <c r="T13" s="35">
        <v>8.0</v>
      </c>
      <c r="U13" s="35">
        <v>10.0</v>
      </c>
      <c r="V13" s="35">
        <v>10.0</v>
      </c>
      <c r="W13" s="35">
        <v>10.0</v>
      </c>
      <c r="X13" s="36">
        <v>10.0</v>
      </c>
      <c r="Y13" s="37">
        <f t="shared" si="6"/>
        <v>17</v>
      </c>
      <c r="Z13" s="38">
        <f t="shared" si="2"/>
        <v>14.5</v>
      </c>
      <c r="AA13" s="48">
        <v>4.0</v>
      </c>
      <c r="AB13" s="48">
        <v>58.0</v>
      </c>
      <c r="AC13" s="50">
        <f t="shared" si="3"/>
        <v>160.5</v>
      </c>
      <c r="AD13" s="42">
        <v>15.0</v>
      </c>
      <c r="AE13" s="43">
        <f t="shared" si="4"/>
        <v>175.5</v>
      </c>
      <c r="AF13" s="44">
        <f t="shared" si="5"/>
        <v>147.9161388</v>
      </c>
      <c r="AG13" s="45" t="s">
        <v>23</v>
      </c>
      <c r="AH13" s="46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</row>
    <row r="14" ht="12.75" customHeight="1">
      <c r="A14" s="47">
        <v>9.0</v>
      </c>
      <c r="B14" s="31">
        <v>11.0</v>
      </c>
      <c r="C14" s="32">
        <v>23.0</v>
      </c>
      <c r="D14" s="33" t="s">
        <v>44</v>
      </c>
      <c r="E14" s="34"/>
      <c r="F14" s="35">
        <v>8.0</v>
      </c>
      <c r="G14" s="35">
        <v>10.0</v>
      </c>
      <c r="H14" s="35">
        <v>10.0</v>
      </c>
      <c r="I14" s="35">
        <v>10.0</v>
      </c>
      <c r="J14" s="35">
        <v>10.0</v>
      </c>
      <c r="K14" s="35">
        <v>10.0</v>
      </c>
      <c r="L14" s="35"/>
      <c r="M14" s="35">
        <v>10.0</v>
      </c>
      <c r="N14" s="35"/>
      <c r="O14" s="35">
        <v>10.0</v>
      </c>
      <c r="P14" s="35">
        <v>9.5</v>
      </c>
      <c r="Q14" s="35">
        <v>10.0</v>
      </c>
      <c r="R14" s="35">
        <v>6.0</v>
      </c>
      <c r="S14" s="35">
        <v>9.0</v>
      </c>
      <c r="T14" s="35">
        <v>10.0</v>
      </c>
      <c r="U14" s="35">
        <v>9.0</v>
      </c>
      <c r="V14" s="35">
        <v>9.0</v>
      </c>
      <c r="W14" s="35">
        <v>10.0</v>
      </c>
      <c r="X14" s="36">
        <v>9.0</v>
      </c>
      <c r="Y14" s="37">
        <f t="shared" si="6"/>
        <v>17</v>
      </c>
      <c r="Z14" s="38">
        <f t="shared" si="2"/>
        <v>13</v>
      </c>
      <c r="AA14" s="48">
        <v>8.0</v>
      </c>
      <c r="AB14" s="49">
        <f>13+13+11+15+16+12+12+12</f>
        <v>104</v>
      </c>
      <c r="AC14" s="50">
        <f t="shared" si="3"/>
        <v>159.5</v>
      </c>
      <c r="AD14" s="42">
        <v>15.0</v>
      </c>
      <c r="AE14" s="43">
        <f t="shared" si="4"/>
        <v>174.5</v>
      </c>
      <c r="AF14" s="44">
        <f t="shared" si="5"/>
        <v>164.0433093</v>
      </c>
      <c r="AG14" s="55"/>
      <c r="AH14" s="46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</row>
    <row r="15" ht="12.75" customHeight="1">
      <c r="A15" s="47">
        <v>21.0</v>
      </c>
      <c r="B15" s="47">
        <v>12.0</v>
      </c>
      <c r="C15" s="32">
        <v>47.0</v>
      </c>
      <c r="D15" s="33" t="s">
        <v>45</v>
      </c>
      <c r="E15" s="34"/>
      <c r="F15" s="35">
        <v>10.0</v>
      </c>
      <c r="G15" s="35">
        <v>9.0</v>
      </c>
      <c r="H15" s="35">
        <v>10.0</v>
      </c>
      <c r="I15" s="35">
        <v>8.0</v>
      </c>
      <c r="J15" s="35">
        <v>10.0</v>
      </c>
      <c r="K15" s="35">
        <v>10.0</v>
      </c>
      <c r="L15" s="35"/>
      <c r="M15" s="35">
        <v>7.5</v>
      </c>
      <c r="N15" s="35"/>
      <c r="O15" s="35">
        <v>9.0</v>
      </c>
      <c r="P15" s="35">
        <v>10.0</v>
      </c>
      <c r="Q15" s="35">
        <v>10.0</v>
      </c>
      <c r="R15" s="35">
        <v>9.0</v>
      </c>
      <c r="S15" s="35">
        <v>8.5</v>
      </c>
      <c r="T15" s="35">
        <v>10.0</v>
      </c>
      <c r="U15" s="35">
        <v>10.0</v>
      </c>
      <c r="V15" s="35">
        <v>10.0</v>
      </c>
      <c r="W15" s="35">
        <v>10.0</v>
      </c>
      <c r="X15" s="36">
        <v>8.0</v>
      </c>
      <c r="Y15" s="37">
        <f t="shared" si="6"/>
        <v>17</v>
      </c>
      <c r="Z15" s="38">
        <f t="shared" si="2"/>
        <v>13.71428571</v>
      </c>
      <c r="AA15" s="48">
        <v>7.0</v>
      </c>
      <c r="AB15" s="49">
        <f>14+14+13+14+12+12+17</f>
        <v>96</v>
      </c>
      <c r="AC15" s="50">
        <f t="shared" si="3"/>
        <v>159</v>
      </c>
      <c r="AD15" s="42">
        <v>15.0</v>
      </c>
      <c r="AE15" s="43">
        <f t="shared" si="4"/>
        <v>174</v>
      </c>
      <c r="AF15" s="44">
        <f t="shared" si="5"/>
        <v>155.05383</v>
      </c>
      <c r="AG15" s="55"/>
      <c r="AH15" s="46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</row>
    <row r="16" ht="12.75" customHeight="1">
      <c r="A16" s="31">
        <v>5.0</v>
      </c>
      <c r="B16" s="47">
        <v>13.0</v>
      </c>
      <c r="C16" s="32">
        <v>141.0</v>
      </c>
      <c r="D16" s="33" t="s">
        <v>46</v>
      </c>
      <c r="E16" s="34"/>
      <c r="F16" s="35">
        <v>7.0</v>
      </c>
      <c r="G16" s="35">
        <v>10.0</v>
      </c>
      <c r="H16" s="35">
        <v>10.0</v>
      </c>
      <c r="I16" s="35">
        <v>8.0</v>
      </c>
      <c r="J16" s="35">
        <v>9.0</v>
      </c>
      <c r="K16" s="35">
        <v>10.0</v>
      </c>
      <c r="L16" s="35"/>
      <c r="M16" s="35">
        <v>9.0</v>
      </c>
      <c r="N16" s="35"/>
      <c r="O16" s="35">
        <v>10.0</v>
      </c>
      <c r="P16" s="35">
        <v>9.0</v>
      </c>
      <c r="Q16" s="35">
        <v>10.0</v>
      </c>
      <c r="R16" s="35">
        <v>10.0</v>
      </c>
      <c r="S16" s="35">
        <v>10.0</v>
      </c>
      <c r="T16" s="35">
        <v>6.0</v>
      </c>
      <c r="U16" s="35">
        <v>10.0</v>
      </c>
      <c r="V16" s="35">
        <v>10.0</v>
      </c>
      <c r="W16" s="35">
        <v>10.0</v>
      </c>
      <c r="X16" s="36">
        <v>10.0</v>
      </c>
      <c r="Y16" s="37">
        <f t="shared" si="6"/>
        <v>17</v>
      </c>
      <c r="Z16" s="38">
        <f t="shared" si="2"/>
        <v>12.6</v>
      </c>
      <c r="AA16" s="48">
        <v>5.0</v>
      </c>
      <c r="AB16" s="49">
        <f>13+12+12+13+13</f>
        <v>63</v>
      </c>
      <c r="AC16" s="50">
        <f t="shared" si="3"/>
        <v>158</v>
      </c>
      <c r="AD16" s="42">
        <v>15.0</v>
      </c>
      <c r="AE16" s="43">
        <f t="shared" si="4"/>
        <v>173</v>
      </c>
      <c r="AF16" s="44">
        <f t="shared" si="5"/>
        <v>167.7961535</v>
      </c>
      <c r="AG16" s="55"/>
      <c r="AH16" s="46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</row>
    <row r="17" ht="12.75" customHeight="1">
      <c r="A17" s="47">
        <v>23.0</v>
      </c>
      <c r="B17" s="47">
        <v>14.0</v>
      </c>
      <c r="C17" s="32">
        <v>46.0</v>
      </c>
      <c r="D17" s="33" t="s">
        <v>45</v>
      </c>
      <c r="E17" s="34"/>
      <c r="F17" s="35">
        <v>10.0</v>
      </c>
      <c r="G17" s="35">
        <v>7.0</v>
      </c>
      <c r="H17" s="35">
        <v>10.0</v>
      </c>
      <c r="I17" s="35">
        <v>8.0</v>
      </c>
      <c r="J17" s="35">
        <v>10.0</v>
      </c>
      <c r="K17" s="35">
        <v>10.0</v>
      </c>
      <c r="L17" s="35"/>
      <c r="M17" s="35">
        <v>8.0</v>
      </c>
      <c r="N17" s="35"/>
      <c r="O17" s="35">
        <v>9.0</v>
      </c>
      <c r="P17" s="35">
        <v>10.0</v>
      </c>
      <c r="Q17" s="35">
        <v>10.0</v>
      </c>
      <c r="R17" s="35">
        <v>9.0</v>
      </c>
      <c r="S17" s="35">
        <v>8.5</v>
      </c>
      <c r="T17" s="35">
        <v>10.0</v>
      </c>
      <c r="U17" s="35">
        <v>10.0</v>
      </c>
      <c r="V17" s="35">
        <v>9.0</v>
      </c>
      <c r="W17" s="35">
        <v>10.0</v>
      </c>
      <c r="X17" s="36">
        <v>9.0</v>
      </c>
      <c r="Y17" s="37">
        <f t="shared" si="6"/>
        <v>17</v>
      </c>
      <c r="Z17" s="38">
        <f t="shared" si="2"/>
        <v>13.85714286</v>
      </c>
      <c r="AA17" s="48">
        <v>7.0</v>
      </c>
      <c r="AB17" s="48">
        <f>13+12+13+14+12+17+16</f>
        <v>97</v>
      </c>
      <c r="AC17" s="50">
        <f t="shared" si="3"/>
        <v>157.5</v>
      </c>
      <c r="AD17" s="42">
        <v>15.0</v>
      </c>
      <c r="AE17" s="43">
        <f t="shared" si="4"/>
        <v>172.5</v>
      </c>
      <c r="AF17" s="44">
        <f t="shared" si="5"/>
        <v>152.1324461</v>
      </c>
      <c r="AG17" s="45"/>
      <c r="AH17" s="46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</row>
    <row r="18" ht="12.75" customHeight="1">
      <c r="A18" s="47">
        <v>19.0</v>
      </c>
      <c r="B18" s="31">
        <v>15.0</v>
      </c>
      <c r="C18" s="32">
        <v>44.0</v>
      </c>
      <c r="D18" s="33" t="s">
        <v>47</v>
      </c>
      <c r="E18" s="34"/>
      <c r="F18" s="35">
        <v>8.0</v>
      </c>
      <c r="G18" s="35">
        <v>10.0</v>
      </c>
      <c r="H18" s="35">
        <v>10.0</v>
      </c>
      <c r="I18" s="35">
        <v>9.0</v>
      </c>
      <c r="J18" s="35">
        <v>8.0</v>
      </c>
      <c r="K18" s="35">
        <v>10.0</v>
      </c>
      <c r="L18" s="35"/>
      <c r="M18" s="35">
        <v>8.0</v>
      </c>
      <c r="N18" s="35"/>
      <c r="O18" s="35">
        <v>10.0</v>
      </c>
      <c r="P18" s="35">
        <v>9.5</v>
      </c>
      <c r="Q18" s="35">
        <v>10.0</v>
      </c>
      <c r="R18" s="35">
        <v>8.5</v>
      </c>
      <c r="S18" s="35">
        <v>10.0</v>
      </c>
      <c r="T18" s="35">
        <v>9.0</v>
      </c>
      <c r="U18" s="35">
        <v>9.0</v>
      </c>
      <c r="V18" s="35">
        <v>9.0</v>
      </c>
      <c r="W18" s="35">
        <v>10.0</v>
      </c>
      <c r="X18" s="36">
        <v>9.0</v>
      </c>
      <c r="Y18" s="37">
        <f t="shared" si="6"/>
        <v>17</v>
      </c>
      <c r="Z18" s="38">
        <f t="shared" si="2"/>
        <v>13.5</v>
      </c>
      <c r="AA18" s="48">
        <v>4.0</v>
      </c>
      <c r="AB18" s="48">
        <f>13+13+14+14</f>
        <v>54</v>
      </c>
      <c r="AC18" s="50">
        <f t="shared" si="3"/>
        <v>157</v>
      </c>
      <c r="AD18" s="42">
        <v>15.0</v>
      </c>
      <c r="AE18" s="43">
        <f t="shared" si="4"/>
        <v>172</v>
      </c>
      <c r="AF18" s="44">
        <f t="shared" si="5"/>
        <v>155.7044846</v>
      </c>
      <c r="AG18" s="45"/>
      <c r="AH18" s="46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</row>
    <row r="19" ht="12.75" customHeight="1">
      <c r="A19" s="31">
        <v>10.0</v>
      </c>
      <c r="B19" s="31">
        <v>16.0</v>
      </c>
      <c r="C19" s="32">
        <v>77.0</v>
      </c>
      <c r="D19" s="33" t="s">
        <v>48</v>
      </c>
      <c r="E19" s="34"/>
      <c r="F19" s="35">
        <v>10.0</v>
      </c>
      <c r="G19" s="35">
        <v>10.0</v>
      </c>
      <c r="H19" s="35">
        <v>10.0</v>
      </c>
      <c r="I19" s="35">
        <v>10.0</v>
      </c>
      <c r="J19" s="35">
        <v>10.0</v>
      </c>
      <c r="K19" s="35">
        <v>10.0</v>
      </c>
      <c r="L19" s="35"/>
      <c r="M19" s="35">
        <v>10.0</v>
      </c>
      <c r="N19" s="35"/>
      <c r="O19" s="35">
        <v>10.0</v>
      </c>
      <c r="P19" s="35">
        <v>9.5</v>
      </c>
      <c r="Q19" s="35">
        <v>10.0</v>
      </c>
      <c r="R19" s="35">
        <v>8.0</v>
      </c>
      <c r="S19" s="35">
        <v>9.0</v>
      </c>
      <c r="T19" s="35">
        <v>6.0</v>
      </c>
      <c r="U19" s="35">
        <v>8.0</v>
      </c>
      <c r="V19" s="35">
        <v>8.0</v>
      </c>
      <c r="W19" s="35">
        <v>9.0</v>
      </c>
      <c r="X19" s="36">
        <v>9.0</v>
      </c>
      <c r="Y19" s="37">
        <f t="shared" si="6"/>
        <v>17</v>
      </c>
      <c r="Z19" s="38">
        <f t="shared" si="2"/>
        <v>12.8</v>
      </c>
      <c r="AA19" s="48">
        <v>5.0</v>
      </c>
      <c r="AB19" s="48">
        <f>14+13+12+13+12</f>
        <v>64</v>
      </c>
      <c r="AC19" s="50">
        <f t="shared" si="3"/>
        <v>156.5</v>
      </c>
      <c r="AD19" s="42">
        <v>15.0</v>
      </c>
      <c r="AE19" s="43">
        <f t="shared" si="4"/>
        <v>171.5</v>
      </c>
      <c r="AF19" s="44">
        <f t="shared" si="5"/>
        <v>163.7421912</v>
      </c>
      <c r="AG19" s="45"/>
      <c r="AH19" s="46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</row>
    <row r="20" ht="12.75" customHeight="1">
      <c r="A20" s="47">
        <v>12.0</v>
      </c>
      <c r="B20" s="47">
        <v>17.0</v>
      </c>
      <c r="C20" s="32">
        <v>5.0</v>
      </c>
      <c r="D20" s="33" t="s">
        <v>49</v>
      </c>
      <c r="E20" s="34"/>
      <c r="F20" s="35">
        <v>8.0</v>
      </c>
      <c r="G20" s="35">
        <v>9.0</v>
      </c>
      <c r="H20" s="35">
        <v>9.0</v>
      </c>
      <c r="I20" s="35">
        <v>7.0</v>
      </c>
      <c r="J20" s="35">
        <v>9.0</v>
      </c>
      <c r="K20" s="35">
        <v>10.0</v>
      </c>
      <c r="L20" s="35"/>
      <c r="M20" s="35">
        <v>8.0</v>
      </c>
      <c r="N20" s="35"/>
      <c r="O20" s="51">
        <v>10.0</v>
      </c>
      <c r="P20" s="35">
        <v>9.5</v>
      </c>
      <c r="Q20" s="35">
        <v>10.0</v>
      </c>
      <c r="R20" s="35">
        <v>8.5</v>
      </c>
      <c r="S20" s="35">
        <v>10.0</v>
      </c>
      <c r="T20" s="35">
        <v>8.0</v>
      </c>
      <c r="U20" s="35">
        <v>10.0</v>
      </c>
      <c r="V20" s="35">
        <v>10.0</v>
      </c>
      <c r="W20" s="35">
        <v>9.0</v>
      </c>
      <c r="X20" s="35">
        <v>9.0</v>
      </c>
      <c r="Y20" s="37">
        <f t="shared" si="6"/>
        <v>17</v>
      </c>
      <c r="Z20" s="38">
        <f t="shared" si="2"/>
        <v>12.8</v>
      </c>
      <c r="AA20" s="48">
        <v>5.0</v>
      </c>
      <c r="AB20" s="49">
        <f>11+12+13+14+14</f>
        <v>64</v>
      </c>
      <c r="AC20" s="50">
        <f t="shared" si="3"/>
        <v>154</v>
      </c>
      <c r="AD20" s="42">
        <v>15.0</v>
      </c>
      <c r="AE20" s="43">
        <f t="shared" si="4"/>
        <v>169</v>
      </c>
      <c r="AF20" s="44">
        <f t="shared" si="5"/>
        <v>161.3552788</v>
      </c>
      <c r="AG20" s="45"/>
      <c r="AH20" s="46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</row>
    <row r="21" ht="12.75" customHeight="1">
      <c r="A21" s="47">
        <v>29.0</v>
      </c>
      <c r="B21" s="47">
        <v>18.0</v>
      </c>
      <c r="C21" s="32">
        <v>132.0</v>
      </c>
      <c r="D21" s="33" t="s">
        <v>50</v>
      </c>
      <c r="E21" s="56"/>
      <c r="F21" s="51">
        <v>9.0</v>
      </c>
      <c r="G21" s="51">
        <v>10.0</v>
      </c>
      <c r="H21" s="51">
        <v>10.0</v>
      </c>
      <c r="I21" s="51"/>
      <c r="J21" s="51">
        <v>10.0</v>
      </c>
      <c r="K21" s="51">
        <v>10.0</v>
      </c>
      <c r="L21" s="51"/>
      <c r="M21" s="51">
        <v>9.5</v>
      </c>
      <c r="N21" s="51"/>
      <c r="O21" s="51">
        <v>9.0</v>
      </c>
      <c r="P21" s="51">
        <v>9.5</v>
      </c>
      <c r="Q21" s="51">
        <v>10.0</v>
      </c>
      <c r="R21" s="51">
        <v>7.0</v>
      </c>
      <c r="S21" s="51">
        <v>10.0</v>
      </c>
      <c r="T21" s="51">
        <v>10.0</v>
      </c>
      <c r="U21" s="51">
        <v>10.0</v>
      </c>
      <c r="V21" s="51">
        <v>10.0</v>
      </c>
      <c r="W21" s="51">
        <v>10.0</v>
      </c>
      <c r="X21" s="57">
        <v>10.0</v>
      </c>
      <c r="Y21" s="58">
        <f t="shared" si="6"/>
        <v>16</v>
      </c>
      <c r="Z21" s="59">
        <f t="shared" si="2"/>
        <v>14.4</v>
      </c>
      <c r="AA21" s="48">
        <v>5.0</v>
      </c>
      <c r="AB21" s="49">
        <f>16+14+14+14+14</f>
        <v>72</v>
      </c>
      <c r="AC21" s="50">
        <f t="shared" si="3"/>
        <v>154</v>
      </c>
      <c r="AD21" s="60">
        <v>15.0</v>
      </c>
      <c r="AE21" s="43">
        <f t="shared" si="4"/>
        <v>169</v>
      </c>
      <c r="AF21" s="44">
        <f t="shared" si="5"/>
        <v>143.4269145</v>
      </c>
      <c r="AG21" s="45"/>
      <c r="AH21" s="46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</row>
    <row r="22" ht="12.75" customHeight="1">
      <c r="A22" s="31">
        <v>18.0</v>
      </c>
      <c r="B22" s="47">
        <v>19.0</v>
      </c>
      <c r="C22" s="32">
        <v>65.0</v>
      </c>
      <c r="D22" s="33" t="s">
        <v>51</v>
      </c>
      <c r="E22" s="34"/>
      <c r="F22" s="35">
        <v>8.0</v>
      </c>
      <c r="G22" s="35">
        <v>9.0</v>
      </c>
      <c r="H22" s="35">
        <v>7.0</v>
      </c>
      <c r="I22" s="35">
        <v>7.0</v>
      </c>
      <c r="J22" s="35">
        <v>7.0</v>
      </c>
      <c r="K22" s="35">
        <v>10.0</v>
      </c>
      <c r="L22" s="35"/>
      <c r="M22" s="35">
        <v>9.5</v>
      </c>
      <c r="N22" s="35"/>
      <c r="O22" s="35">
        <v>10.0</v>
      </c>
      <c r="P22" s="35">
        <v>9.5</v>
      </c>
      <c r="Q22" s="35">
        <v>10.0</v>
      </c>
      <c r="R22" s="35">
        <v>9.5</v>
      </c>
      <c r="S22" s="35">
        <v>9.0</v>
      </c>
      <c r="T22" s="35">
        <v>10.0</v>
      </c>
      <c r="U22" s="35">
        <v>8.0</v>
      </c>
      <c r="V22" s="35">
        <v>10.0</v>
      </c>
      <c r="W22" s="35">
        <v>10.0</v>
      </c>
      <c r="X22" s="36">
        <v>10.0</v>
      </c>
      <c r="Y22" s="37">
        <f t="shared" si="6"/>
        <v>17</v>
      </c>
      <c r="Z22" s="38">
        <f t="shared" si="2"/>
        <v>13.2</v>
      </c>
      <c r="AA22" s="48">
        <v>5.0</v>
      </c>
      <c r="AB22" s="48">
        <f>13+13+12+13+15</f>
        <v>66</v>
      </c>
      <c r="AC22" s="50">
        <f t="shared" si="3"/>
        <v>153.5</v>
      </c>
      <c r="AD22" s="42">
        <v>15.0</v>
      </c>
      <c r="AE22" s="43">
        <f t="shared" si="4"/>
        <v>168.5</v>
      </c>
      <c r="AF22" s="44">
        <f t="shared" si="5"/>
        <v>156.0028085</v>
      </c>
      <c r="AG22" s="55"/>
      <c r="AH22" s="46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</row>
    <row r="23" ht="12.75" customHeight="1">
      <c r="A23" s="47">
        <v>25.0</v>
      </c>
      <c r="B23" s="31">
        <v>20.0</v>
      </c>
      <c r="C23" s="32">
        <v>6.0</v>
      </c>
      <c r="D23" s="33" t="s">
        <v>49</v>
      </c>
      <c r="E23" s="34"/>
      <c r="F23" s="35">
        <v>8.0</v>
      </c>
      <c r="G23" s="35">
        <v>9.0</v>
      </c>
      <c r="H23" s="35">
        <v>8.0</v>
      </c>
      <c r="I23" s="35">
        <v>8.0</v>
      </c>
      <c r="J23" s="35">
        <v>9.0</v>
      </c>
      <c r="K23" s="35">
        <v>10.0</v>
      </c>
      <c r="L23" s="35"/>
      <c r="M23" s="35">
        <v>7.5</v>
      </c>
      <c r="N23" s="35"/>
      <c r="O23" s="35">
        <v>10.0</v>
      </c>
      <c r="P23" s="35">
        <v>9.5</v>
      </c>
      <c r="Q23" s="35">
        <v>10.0</v>
      </c>
      <c r="R23" s="35">
        <v>7.5</v>
      </c>
      <c r="S23" s="35">
        <v>10.0</v>
      </c>
      <c r="T23" s="35">
        <v>8.0</v>
      </c>
      <c r="U23" s="35">
        <v>10.0</v>
      </c>
      <c r="V23" s="35">
        <v>10.0</v>
      </c>
      <c r="W23" s="35">
        <v>9.0</v>
      </c>
      <c r="X23" s="36">
        <v>9.0</v>
      </c>
      <c r="Y23" s="61">
        <v>9.0</v>
      </c>
      <c r="Z23" s="38">
        <f t="shared" si="2"/>
        <v>13.75</v>
      </c>
      <c r="AA23" s="48">
        <v>4.0</v>
      </c>
      <c r="AB23" s="49">
        <f>14+13+14+14</f>
        <v>55</v>
      </c>
      <c r="AC23" s="50">
        <f t="shared" si="3"/>
        <v>152.5</v>
      </c>
      <c r="AD23" s="42">
        <v>15.0</v>
      </c>
      <c r="AE23" s="43">
        <f t="shared" si="4"/>
        <v>167.5</v>
      </c>
      <c r="AF23" s="44">
        <f t="shared" si="5"/>
        <v>148.8738968</v>
      </c>
      <c r="AG23" s="45"/>
      <c r="AH23" s="46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</row>
    <row r="24" ht="12.75" customHeight="1">
      <c r="A24" s="47">
        <v>30.0</v>
      </c>
      <c r="B24" s="31">
        <v>21.0</v>
      </c>
      <c r="C24" s="32">
        <v>18.0</v>
      </c>
      <c r="D24" s="33" t="s">
        <v>52</v>
      </c>
      <c r="E24" s="34"/>
      <c r="F24" s="35">
        <v>10.0</v>
      </c>
      <c r="G24" s="35">
        <v>8.0</v>
      </c>
      <c r="H24" s="35">
        <v>8.0</v>
      </c>
      <c r="I24" s="35">
        <v>9.0</v>
      </c>
      <c r="J24" s="35">
        <v>9.0</v>
      </c>
      <c r="K24" s="35">
        <v>10.0</v>
      </c>
      <c r="L24" s="35"/>
      <c r="M24" s="35">
        <v>10.0</v>
      </c>
      <c r="N24" s="35"/>
      <c r="O24" s="35">
        <v>8.0</v>
      </c>
      <c r="P24" s="35">
        <v>10.0</v>
      </c>
      <c r="Q24" s="35">
        <v>10.0</v>
      </c>
      <c r="R24" s="35">
        <v>9.0</v>
      </c>
      <c r="S24" s="35">
        <v>9.0</v>
      </c>
      <c r="T24" s="35">
        <v>6.0</v>
      </c>
      <c r="U24" s="35">
        <v>6.0</v>
      </c>
      <c r="V24" s="35">
        <v>10.0</v>
      </c>
      <c r="W24" s="35">
        <v>10.0</v>
      </c>
      <c r="X24" s="36">
        <v>10.0</v>
      </c>
      <c r="Y24" s="37">
        <f t="shared" ref="Y24:Y40" si="7">COUNTA(F24:X24)</f>
        <v>17</v>
      </c>
      <c r="Z24" s="38">
        <f t="shared" si="2"/>
        <v>14.28571429</v>
      </c>
      <c r="AA24" s="48">
        <v>7.0</v>
      </c>
      <c r="AB24" s="49">
        <f>13+13+14+13+13+16+18</f>
        <v>100</v>
      </c>
      <c r="AC24" s="50">
        <f t="shared" si="3"/>
        <v>152</v>
      </c>
      <c r="AD24" s="42">
        <v>15.0</v>
      </c>
      <c r="AE24" s="43">
        <f t="shared" si="4"/>
        <v>167</v>
      </c>
      <c r="AF24" s="44">
        <f t="shared" si="5"/>
        <v>142.863391</v>
      </c>
      <c r="AG24" s="45"/>
      <c r="AH24" s="46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</row>
    <row r="25" ht="12.75" customHeight="1">
      <c r="A25" s="31">
        <v>16.0</v>
      </c>
      <c r="B25" s="47">
        <v>22.0</v>
      </c>
      <c r="C25" s="32">
        <v>137.0</v>
      </c>
      <c r="D25" s="33" t="s">
        <v>53</v>
      </c>
      <c r="E25" s="34"/>
      <c r="F25" s="35">
        <v>10.0</v>
      </c>
      <c r="G25" s="35">
        <v>9.0</v>
      </c>
      <c r="H25" s="35">
        <v>10.0</v>
      </c>
      <c r="I25" s="35">
        <v>10.0</v>
      </c>
      <c r="J25" s="35">
        <v>10.0</v>
      </c>
      <c r="K25" s="35"/>
      <c r="L25" s="35"/>
      <c r="M25" s="35">
        <v>8.0</v>
      </c>
      <c r="N25" s="35"/>
      <c r="O25" s="35">
        <v>10.0</v>
      </c>
      <c r="P25" s="35">
        <v>10.0</v>
      </c>
      <c r="Q25" s="35">
        <v>10.0</v>
      </c>
      <c r="R25" s="35">
        <v>10.0</v>
      </c>
      <c r="S25" s="35">
        <v>9.0</v>
      </c>
      <c r="T25" s="35">
        <v>6.0</v>
      </c>
      <c r="U25" s="35">
        <v>9.0</v>
      </c>
      <c r="V25" s="35">
        <v>9.0</v>
      </c>
      <c r="W25" s="35">
        <v>10.0</v>
      </c>
      <c r="X25" s="36">
        <v>9.0</v>
      </c>
      <c r="Y25" s="37">
        <f t="shared" si="7"/>
        <v>16</v>
      </c>
      <c r="Z25" s="52">
        <f t="shared" si="2"/>
        <v>12.8</v>
      </c>
      <c r="AA25" s="48">
        <v>5.0</v>
      </c>
      <c r="AB25" s="49">
        <f>12+13+11+11+17</f>
        <v>64</v>
      </c>
      <c r="AC25" s="50">
        <f t="shared" si="3"/>
        <v>149</v>
      </c>
      <c r="AD25" s="53">
        <v>15.0</v>
      </c>
      <c r="AE25" s="54">
        <f t="shared" si="4"/>
        <v>164</v>
      </c>
      <c r="AF25" s="44">
        <f t="shared" si="5"/>
        <v>156.5814539</v>
      </c>
      <c r="AG25" s="55"/>
      <c r="AH25" s="46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</row>
    <row r="26" ht="12.75" customHeight="1">
      <c r="A26" s="47">
        <v>22.0</v>
      </c>
      <c r="B26" s="47">
        <v>23.0</v>
      </c>
      <c r="C26" s="32">
        <v>93.0</v>
      </c>
      <c r="D26" s="33" t="s">
        <v>54</v>
      </c>
      <c r="E26" s="34"/>
      <c r="F26" s="35">
        <v>10.0</v>
      </c>
      <c r="G26" s="35">
        <v>9.0</v>
      </c>
      <c r="H26" s="35">
        <v>10.0</v>
      </c>
      <c r="I26" s="35">
        <v>7.0</v>
      </c>
      <c r="J26" s="35">
        <v>8.0</v>
      </c>
      <c r="K26" s="35">
        <v>10.0</v>
      </c>
      <c r="L26" s="35"/>
      <c r="M26" s="35">
        <v>8.0</v>
      </c>
      <c r="N26" s="35"/>
      <c r="O26" s="35">
        <v>9.0</v>
      </c>
      <c r="P26" s="35">
        <v>9.5</v>
      </c>
      <c r="Q26" s="35">
        <v>10.0</v>
      </c>
      <c r="R26" s="35">
        <v>6.0</v>
      </c>
      <c r="S26" s="35">
        <v>9.0</v>
      </c>
      <c r="T26" s="35">
        <v>9.0</v>
      </c>
      <c r="U26" s="35">
        <v>9.0</v>
      </c>
      <c r="V26" s="35">
        <v>10.0</v>
      </c>
      <c r="W26" s="35">
        <v>4.0</v>
      </c>
      <c r="X26" s="36">
        <v>10.0</v>
      </c>
      <c r="Y26" s="37">
        <f t="shared" si="7"/>
        <v>17</v>
      </c>
      <c r="Z26" s="52">
        <f t="shared" si="2"/>
        <v>12.83333333</v>
      </c>
      <c r="AA26" s="48">
        <v>6.0</v>
      </c>
      <c r="AB26" s="48">
        <f>12+13+13+11+13+15</f>
        <v>77</v>
      </c>
      <c r="AC26" s="50">
        <f t="shared" si="3"/>
        <v>147.5</v>
      </c>
      <c r="AD26" s="53">
        <v>15.0</v>
      </c>
      <c r="AE26" s="54">
        <f t="shared" si="4"/>
        <v>162.5</v>
      </c>
      <c r="AF26" s="44">
        <f t="shared" si="5"/>
        <v>154.7463213</v>
      </c>
      <c r="AG26" s="55"/>
      <c r="AH26" s="46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</row>
    <row r="27" ht="12.75" customHeight="1">
      <c r="A27" s="47">
        <v>4.0</v>
      </c>
      <c r="B27" s="47">
        <v>24.0</v>
      </c>
      <c r="C27" s="32">
        <v>130.0</v>
      </c>
      <c r="D27" s="33" t="s">
        <v>55</v>
      </c>
      <c r="E27" s="56"/>
      <c r="F27" s="51">
        <v>10.0</v>
      </c>
      <c r="G27" s="51">
        <v>7.0</v>
      </c>
      <c r="H27" s="51">
        <v>9.5</v>
      </c>
      <c r="I27" s="51">
        <v>7.0</v>
      </c>
      <c r="J27" s="51">
        <v>10.0</v>
      </c>
      <c r="K27" s="51">
        <v>10.0</v>
      </c>
      <c r="L27" s="51"/>
      <c r="M27" s="51">
        <v>9.5</v>
      </c>
      <c r="N27" s="51"/>
      <c r="O27" s="51">
        <v>10.0</v>
      </c>
      <c r="P27" s="51">
        <v>10.0</v>
      </c>
      <c r="Q27" s="51">
        <v>10.0</v>
      </c>
      <c r="R27" s="51">
        <v>7.0</v>
      </c>
      <c r="S27" s="51">
        <v>9.0</v>
      </c>
      <c r="T27" s="51">
        <v>10.0</v>
      </c>
      <c r="U27" s="51">
        <v>8.0</v>
      </c>
      <c r="V27" s="51">
        <v>9.0</v>
      </c>
      <c r="W27" s="62"/>
      <c r="X27" s="57">
        <v>10.0</v>
      </c>
      <c r="Y27" s="58">
        <f t="shared" si="7"/>
        <v>16</v>
      </c>
      <c r="Z27" s="52">
        <f t="shared" si="2"/>
        <v>11.66666667</v>
      </c>
      <c r="AA27" s="48">
        <v>6.0</v>
      </c>
      <c r="AB27" s="49">
        <f>12+13+11+12+11+11</f>
        <v>70</v>
      </c>
      <c r="AC27" s="50">
        <f t="shared" si="3"/>
        <v>146</v>
      </c>
      <c r="AD27" s="60">
        <v>15.0</v>
      </c>
      <c r="AE27" s="43">
        <f t="shared" si="4"/>
        <v>161</v>
      </c>
      <c r="AF27" s="44">
        <f t="shared" si="5"/>
        <v>168.6496831</v>
      </c>
      <c r="AG27" s="45"/>
      <c r="AH27" s="46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</row>
    <row r="28" ht="12.75" customHeight="1">
      <c r="A28" s="31">
        <v>17.0</v>
      </c>
      <c r="B28" s="31">
        <v>25.0</v>
      </c>
      <c r="C28" s="32">
        <v>103.0</v>
      </c>
      <c r="D28" s="33" t="s">
        <v>56</v>
      </c>
      <c r="E28" s="34"/>
      <c r="F28" s="35">
        <v>10.0</v>
      </c>
      <c r="G28" s="35">
        <v>10.0</v>
      </c>
      <c r="H28" s="35">
        <v>10.0</v>
      </c>
      <c r="I28" s="35"/>
      <c r="J28" s="35"/>
      <c r="K28" s="35">
        <v>10.0</v>
      </c>
      <c r="L28" s="35"/>
      <c r="M28" s="35">
        <v>9.0</v>
      </c>
      <c r="N28" s="35"/>
      <c r="O28" s="35">
        <v>10.0</v>
      </c>
      <c r="P28" s="35">
        <v>10.0</v>
      </c>
      <c r="Q28" s="35">
        <v>10.0</v>
      </c>
      <c r="R28" s="35">
        <v>9.0</v>
      </c>
      <c r="S28" s="35">
        <v>10.0</v>
      </c>
      <c r="T28" s="35">
        <v>8.0</v>
      </c>
      <c r="U28" s="35">
        <v>10.0</v>
      </c>
      <c r="V28" s="35">
        <v>10.0</v>
      </c>
      <c r="W28" s="35">
        <v>10.0</v>
      </c>
      <c r="X28" s="36">
        <v>10.0</v>
      </c>
      <c r="Y28" s="37">
        <f t="shared" si="7"/>
        <v>15</v>
      </c>
      <c r="Z28" s="52">
        <f t="shared" si="2"/>
        <v>12.6</v>
      </c>
      <c r="AA28" s="48">
        <v>5.0</v>
      </c>
      <c r="AB28" s="49">
        <f>14+11+11+13+14</f>
        <v>63</v>
      </c>
      <c r="AC28" s="50">
        <f t="shared" si="3"/>
        <v>146</v>
      </c>
      <c r="AD28" s="53">
        <v>15.0</v>
      </c>
      <c r="AE28" s="54">
        <f t="shared" si="4"/>
        <v>161</v>
      </c>
      <c r="AF28" s="44">
        <f t="shared" si="5"/>
        <v>156.157114</v>
      </c>
      <c r="AG28" s="45" t="s">
        <v>23</v>
      </c>
      <c r="AH28" s="46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</row>
    <row r="29" ht="12.75" customHeight="1">
      <c r="A29" s="47">
        <v>46.0</v>
      </c>
      <c r="B29" s="31">
        <v>26.0</v>
      </c>
      <c r="C29" s="32">
        <v>19.0</v>
      </c>
      <c r="D29" s="33" t="s">
        <v>57</v>
      </c>
      <c r="E29" s="34"/>
      <c r="F29" s="35">
        <v>10.0</v>
      </c>
      <c r="G29" s="35">
        <v>9.0</v>
      </c>
      <c r="H29" s="35">
        <v>9.0</v>
      </c>
      <c r="I29" s="35">
        <v>8.0</v>
      </c>
      <c r="J29" s="35">
        <v>10.0</v>
      </c>
      <c r="K29" s="35">
        <v>10.0</v>
      </c>
      <c r="L29" s="35"/>
      <c r="M29" s="35">
        <v>10.0</v>
      </c>
      <c r="N29" s="35"/>
      <c r="O29" s="35">
        <v>10.0</v>
      </c>
      <c r="P29" s="35">
        <v>10.0</v>
      </c>
      <c r="Q29" s="35">
        <v>10.0</v>
      </c>
      <c r="R29" s="35">
        <v>9.0</v>
      </c>
      <c r="S29" s="35">
        <v>9.0</v>
      </c>
      <c r="T29" s="35">
        <v>7.0</v>
      </c>
      <c r="U29" s="35">
        <v>10.0</v>
      </c>
      <c r="V29" s="35">
        <v>10.0</v>
      </c>
      <c r="W29" s="35">
        <v>10.0</v>
      </c>
      <c r="X29" s="36">
        <v>10.0</v>
      </c>
      <c r="Y29" s="37">
        <f t="shared" si="7"/>
        <v>17</v>
      </c>
      <c r="Z29" s="52">
        <f t="shared" si="2"/>
        <v>16.14285714</v>
      </c>
      <c r="AA29" s="48">
        <v>7.0</v>
      </c>
      <c r="AB29" s="49">
        <f>19+17+17+17+15+16+12</f>
        <v>113</v>
      </c>
      <c r="AC29" s="50">
        <f t="shared" si="3"/>
        <v>161</v>
      </c>
      <c r="AD29" s="63"/>
      <c r="AE29" s="54">
        <f t="shared" si="4"/>
        <v>161</v>
      </c>
      <c r="AF29" s="44">
        <f t="shared" si="5"/>
        <v>121.8854642</v>
      </c>
      <c r="AG29" s="45"/>
      <c r="AH29" s="46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</row>
    <row r="30" ht="12.75" customHeight="1">
      <c r="A30" s="47">
        <v>7.0</v>
      </c>
      <c r="B30" s="47">
        <v>27.0</v>
      </c>
      <c r="C30" s="32">
        <v>57.0</v>
      </c>
      <c r="D30" s="33" t="s">
        <v>58</v>
      </c>
      <c r="E30" s="34"/>
      <c r="F30" s="35">
        <v>7.0</v>
      </c>
      <c r="G30" s="35">
        <v>10.0</v>
      </c>
      <c r="H30" s="35">
        <v>10.0</v>
      </c>
      <c r="I30" s="35">
        <v>9.0</v>
      </c>
      <c r="J30" s="35">
        <v>8.0</v>
      </c>
      <c r="K30" s="35"/>
      <c r="L30" s="35"/>
      <c r="M30" s="35">
        <v>8.0</v>
      </c>
      <c r="N30" s="35"/>
      <c r="O30" s="35">
        <v>10.0</v>
      </c>
      <c r="P30" s="35">
        <v>9.5</v>
      </c>
      <c r="Q30" s="35">
        <v>10.0</v>
      </c>
      <c r="R30" s="35">
        <v>8.0</v>
      </c>
      <c r="S30" s="35">
        <v>9.0</v>
      </c>
      <c r="T30" s="35">
        <v>7.0</v>
      </c>
      <c r="U30" s="35">
        <v>9.0</v>
      </c>
      <c r="V30" s="35">
        <v>9.0</v>
      </c>
      <c r="W30" s="35">
        <v>9.0</v>
      </c>
      <c r="X30" s="36">
        <v>10.0</v>
      </c>
      <c r="Y30" s="37">
        <f t="shared" si="7"/>
        <v>16</v>
      </c>
      <c r="Z30" s="38">
        <f t="shared" si="2"/>
        <v>11.5</v>
      </c>
      <c r="AA30" s="48">
        <v>4.0</v>
      </c>
      <c r="AB30" s="48">
        <f>13+12+11+10</f>
        <v>46</v>
      </c>
      <c r="AC30" s="50">
        <f t="shared" si="3"/>
        <v>142.5</v>
      </c>
      <c r="AD30" s="42">
        <v>15.0</v>
      </c>
      <c r="AE30" s="43">
        <f t="shared" si="4"/>
        <v>157.5</v>
      </c>
      <c r="AF30" s="44">
        <f t="shared" si="5"/>
        <v>167.3744492</v>
      </c>
      <c r="AG30" s="45"/>
      <c r="AH30" s="46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</row>
    <row r="31" ht="12.75" customHeight="1">
      <c r="A31" s="31">
        <v>15.0</v>
      </c>
      <c r="B31" s="47">
        <v>28.0</v>
      </c>
      <c r="C31" s="32">
        <v>105.0</v>
      </c>
      <c r="D31" s="33" t="s">
        <v>59</v>
      </c>
      <c r="E31" s="34"/>
      <c r="F31" s="35">
        <v>8.0</v>
      </c>
      <c r="G31" s="35">
        <v>9.0</v>
      </c>
      <c r="H31" s="35">
        <v>10.0</v>
      </c>
      <c r="I31" s="35">
        <v>8.0</v>
      </c>
      <c r="J31" s="35">
        <v>10.0</v>
      </c>
      <c r="K31" s="35">
        <v>10.0</v>
      </c>
      <c r="L31" s="35"/>
      <c r="M31" s="35">
        <v>9.0</v>
      </c>
      <c r="N31" s="35"/>
      <c r="O31" s="35">
        <v>10.0</v>
      </c>
      <c r="P31" s="35">
        <v>10.0</v>
      </c>
      <c r="Q31" s="35">
        <v>10.0</v>
      </c>
      <c r="R31" s="35">
        <v>10.0</v>
      </c>
      <c r="S31" s="35">
        <v>9.0</v>
      </c>
      <c r="T31" s="35">
        <v>5.0</v>
      </c>
      <c r="U31" s="35">
        <v>9.0</v>
      </c>
      <c r="V31" s="35">
        <v>10.0</v>
      </c>
      <c r="W31" s="35">
        <v>10.0</v>
      </c>
      <c r="X31" s="36">
        <v>10.0</v>
      </c>
      <c r="Y31" s="37">
        <f t="shared" si="7"/>
        <v>17</v>
      </c>
      <c r="Z31" s="38">
        <f t="shared" si="2"/>
        <v>12.25</v>
      </c>
      <c r="AA31" s="48">
        <v>4.0</v>
      </c>
      <c r="AB31" s="48">
        <v>49.0</v>
      </c>
      <c r="AC31" s="50">
        <f t="shared" si="3"/>
        <v>157</v>
      </c>
      <c r="AD31" s="42"/>
      <c r="AE31" s="43">
        <f t="shared" si="4"/>
        <v>157</v>
      </c>
      <c r="AF31" s="44">
        <f t="shared" si="5"/>
        <v>156.6282179</v>
      </c>
      <c r="AG31" s="45"/>
      <c r="AH31" s="46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</row>
    <row r="32" ht="12.75" customHeight="1">
      <c r="A32" s="47">
        <v>11.0</v>
      </c>
      <c r="B32" s="47">
        <v>29.0</v>
      </c>
      <c r="C32" s="32">
        <v>22.0</v>
      </c>
      <c r="D32" s="33" t="s">
        <v>60</v>
      </c>
      <c r="E32" s="34"/>
      <c r="F32" s="35">
        <v>9.0</v>
      </c>
      <c r="G32" s="35">
        <v>6.0</v>
      </c>
      <c r="H32" s="35">
        <v>8.0</v>
      </c>
      <c r="I32" s="35">
        <v>9.0</v>
      </c>
      <c r="J32" s="35">
        <v>8.0</v>
      </c>
      <c r="K32" s="35">
        <v>10.0</v>
      </c>
      <c r="L32" s="35"/>
      <c r="M32" s="35">
        <v>5.5</v>
      </c>
      <c r="N32" s="35"/>
      <c r="O32" s="35">
        <v>10.0</v>
      </c>
      <c r="P32" s="35">
        <v>10.0</v>
      </c>
      <c r="Q32" s="35">
        <v>10.0</v>
      </c>
      <c r="R32" s="35">
        <v>7.0</v>
      </c>
      <c r="S32" s="35">
        <v>9.0</v>
      </c>
      <c r="T32" s="35">
        <v>8.0</v>
      </c>
      <c r="U32" s="35">
        <v>7.0</v>
      </c>
      <c r="V32" s="35">
        <v>10.0</v>
      </c>
      <c r="W32" s="35">
        <v>7.0</v>
      </c>
      <c r="X32" s="36">
        <v>8.0</v>
      </c>
      <c r="Y32" s="37">
        <f t="shared" si="7"/>
        <v>17</v>
      </c>
      <c r="Z32" s="38">
        <f t="shared" si="2"/>
        <v>11.75</v>
      </c>
      <c r="AA32" s="48">
        <v>4.0</v>
      </c>
      <c r="AB32" s="48">
        <f>12+12+12+11</f>
        <v>47</v>
      </c>
      <c r="AC32" s="50">
        <f t="shared" si="3"/>
        <v>141.5</v>
      </c>
      <c r="AD32" s="42">
        <v>15.0</v>
      </c>
      <c r="AE32" s="43">
        <f t="shared" si="4"/>
        <v>156.5</v>
      </c>
      <c r="AF32" s="44">
        <f t="shared" si="5"/>
        <v>162.7732063</v>
      </c>
      <c r="AG32" s="45"/>
      <c r="AH32" s="46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</row>
    <row r="33" ht="12.75" customHeight="1">
      <c r="A33" s="47">
        <v>14.0</v>
      </c>
      <c r="B33" s="31">
        <v>30.0</v>
      </c>
      <c r="C33" s="32">
        <v>21.0</v>
      </c>
      <c r="D33" s="33" t="s">
        <v>60</v>
      </c>
      <c r="E33" s="34"/>
      <c r="F33" s="35">
        <v>9.0</v>
      </c>
      <c r="G33" s="35">
        <v>6.0</v>
      </c>
      <c r="H33" s="35">
        <v>8.0</v>
      </c>
      <c r="I33" s="35">
        <v>9.0</v>
      </c>
      <c r="J33" s="35">
        <v>8.0</v>
      </c>
      <c r="K33" s="35">
        <v>10.0</v>
      </c>
      <c r="L33" s="35"/>
      <c r="M33" s="35">
        <v>5.5</v>
      </c>
      <c r="N33" s="35"/>
      <c r="O33" s="35">
        <v>10.0</v>
      </c>
      <c r="P33" s="35">
        <v>10.0</v>
      </c>
      <c r="Q33" s="35">
        <v>10.0</v>
      </c>
      <c r="R33" s="35">
        <v>7.0</v>
      </c>
      <c r="S33" s="35">
        <v>9.0</v>
      </c>
      <c r="T33" s="35">
        <v>8.0</v>
      </c>
      <c r="U33" s="35">
        <v>7.0</v>
      </c>
      <c r="V33" s="35">
        <v>10.0</v>
      </c>
      <c r="W33" s="35">
        <v>7.0</v>
      </c>
      <c r="X33" s="36">
        <v>8.0</v>
      </c>
      <c r="Y33" s="37">
        <f t="shared" si="7"/>
        <v>17</v>
      </c>
      <c r="Z33" s="38">
        <f t="shared" si="2"/>
        <v>12</v>
      </c>
      <c r="AA33" s="48">
        <v>4.0</v>
      </c>
      <c r="AB33" s="49">
        <f>13+11+12+12</f>
        <v>48</v>
      </c>
      <c r="AC33" s="50">
        <f t="shared" si="3"/>
        <v>141.5</v>
      </c>
      <c r="AD33" s="53">
        <v>15.0</v>
      </c>
      <c r="AE33" s="54">
        <f t="shared" si="4"/>
        <v>156.5</v>
      </c>
      <c r="AF33" s="44">
        <f t="shared" si="5"/>
        <v>159.3820978</v>
      </c>
      <c r="AG33" s="45"/>
      <c r="AH33" s="46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</row>
    <row r="34" ht="12.75" customHeight="1">
      <c r="A34" s="31">
        <v>13.0</v>
      </c>
      <c r="B34" s="31">
        <v>31.0</v>
      </c>
      <c r="C34" s="32">
        <v>106.0</v>
      </c>
      <c r="D34" s="33" t="s">
        <v>59</v>
      </c>
      <c r="E34" s="34"/>
      <c r="F34" s="35">
        <v>8.0</v>
      </c>
      <c r="G34" s="35">
        <v>8.0</v>
      </c>
      <c r="H34" s="35">
        <v>10.0</v>
      </c>
      <c r="I34" s="35">
        <v>8.0</v>
      </c>
      <c r="J34" s="35">
        <v>10.0</v>
      </c>
      <c r="K34" s="35">
        <v>9.0</v>
      </c>
      <c r="L34" s="35"/>
      <c r="M34" s="35">
        <v>9.0</v>
      </c>
      <c r="N34" s="35"/>
      <c r="O34" s="35">
        <v>10.0</v>
      </c>
      <c r="P34" s="35">
        <v>10.0</v>
      </c>
      <c r="Q34" s="35">
        <v>10.0</v>
      </c>
      <c r="R34" s="35">
        <v>10.0</v>
      </c>
      <c r="S34" s="35">
        <v>9.0</v>
      </c>
      <c r="T34" s="35">
        <v>5.0</v>
      </c>
      <c r="U34" s="35">
        <v>9.0</v>
      </c>
      <c r="V34" s="35">
        <v>10.0</v>
      </c>
      <c r="W34" s="35">
        <v>10.0</v>
      </c>
      <c r="X34" s="36">
        <v>10.0</v>
      </c>
      <c r="Y34" s="37">
        <f t="shared" si="7"/>
        <v>17</v>
      </c>
      <c r="Z34" s="38">
        <f t="shared" si="2"/>
        <v>11.75</v>
      </c>
      <c r="AA34" s="48">
        <v>4.0</v>
      </c>
      <c r="AB34" s="49">
        <f>13+12+11+11</f>
        <v>47</v>
      </c>
      <c r="AC34" s="50">
        <f t="shared" si="3"/>
        <v>155</v>
      </c>
      <c r="AD34" s="42"/>
      <c r="AE34" s="43">
        <f t="shared" si="4"/>
        <v>155</v>
      </c>
      <c r="AF34" s="44">
        <f t="shared" si="5"/>
        <v>161.2130797</v>
      </c>
      <c r="AG34" s="45"/>
      <c r="AH34" s="46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</row>
    <row r="35" ht="12.75" customHeight="1">
      <c r="A35" s="47">
        <v>42.0</v>
      </c>
      <c r="B35" s="47">
        <v>32.0</v>
      </c>
      <c r="C35" s="32">
        <v>45.0</v>
      </c>
      <c r="D35" s="33" t="s">
        <v>47</v>
      </c>
      <c r="E35" s="34"/>
      <c r="F35" s="35">
        <v>8.0</v>
      </c>
      <c r="G35" s="35">
        <v>8.0</v>
      </c>
      <c r="H35" s="35">
        <v>9.0</v>
      </c>
      <c r="I35" s="35">
        <v>9.0</v>
      </c>
      <c r="J35" s="35">
        <v>8.0</v>
      </c>
      <c r="K35" s="35">
        <v>10.0</v>
      </c>
      <c r="L35" s="64"/>
      <c r="M35" s="35">
        <v>8.0</v>
      </c>
      <c r="N35" s="35"/>
      <c r="O35" s="35">
        <v>10.0</v>
      </c>
      <c r="P35" s="35">
        <v>9.5</v>
      </c>
      <c r="Q35" s="35">
        <v>10.0</v>
      </c>
      <c r="R35" s="35">
        <v>8.5</v>
      </c>
      <c r="S35" s="35">
        <v>10.0</v>
      </c>
      <c r="T35" s="35">
        <v>9.0</v>
      </c>
      <c r="U35" s="35">
        <v>9.0</v>
      </c>
      <c r="V35" s="35">
        <v>9.0</v>
      </c>
      <c r="W35" s="35">
        <v>10.0</v>
      </c>
      <c r="X35" s="36">
        <v>9.0</v>
      </c>
      <c r="Y35" s="37">
        <f t="shared" si="7"/>
        <v>17</v>
      </c>
      <c r="Z35" s="38">
        <f t="shared" si="2"/>
        <v>14.5</v>
      </c>
      <c r="AA35" s="48">
        <v>4.0</v>
      </c>
      <c r="AB35" s="48">
        <f>15+16+14+13</f>
        <v>58</v>
      </c>
      <c r="AC35" s="50">
        <f t="shared" si="3"/>
        <v>154</v>
      </c>
      <c r="AD35" s="65"/>
      <c r="AE35" s="43">
        <f t="shared" si="4"/>
        <v>154</v>
      </c>
      <c r="AF35" s="44">
        <f t="shared" si="5"/>
        <v>129.7953583</v>
      </c>
      <c r="AG35" s="45"/>
      <c r="AH35" s="46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</row>
    <row r="36" ht="12.75" customHeight="1">
      <c r="A36" s="47">
        <v>24.0</v>
      </c>
      <c r="B36" s="47">
        <v>33.0</v>
      </c>
      <c r="C36" s="32">
        <v>37.0</v>
      </c>
      <c r="D36" s="33" t="s">
        <v>61</v>
      </c>
      <c r="E36" s="34"/>
      <c r="F36" s="35">
        <v>7.0</v>
      </c>
      <c r="G36" s="35">
        <v>7.0</v>
      </c>
      <c r="H36" s="35">
        <v>10.0</v>
      </c>
      <c r="I36" s="35">
        <v>10.0</v>
      </c>
      <c r="J36" s="35">
        <v>8.0</v>
      </c>
      <c r="K36" s="35">
        <v>10.0</v>
      </c>
      <c r="L36" s="35"/>
      <c r="M36" s="35">
        <v>7.0</v>
      </c>
      <c r="N36" s="35"/>
      <c r="O36" s="35">
        <v>10.0</v>
      </c>
      <c r="P36" s="35">
        <v>9.5</v>
      </c>
      <c r="Q36" s="35">
        <v>10.0</v>
      </c>
      <c r="R36" s="35">
        <v>9.0</v>
      </c>
      <c r="S36" s="35">
        <v>9.0</v>
      </c>
      <c r="T36" s="35">
        <v>10.0</v>
      </c>
      <c r="U36" s="35">
        <v>8.0</v>
      </c>
      <c r="V36" s="35">
        <v>9.0</v>
      </c>
      <c r="W36" s="35">
        <v>10.0</v>
      </c>
      <c r="X36" s="36">
        <v>9.0</v>
      </c>
      <c r="Y36" s="37">
        <f t="shared" si="7"/>
        <v>17</v>
      </c>
      <c r="Z36" s="38">
        <f t="shared" si="2"/>
        <v>12.33333333</v>
      </c>
      <c r="AA36" s="48">
        <v>6.0</v>
      </c>
      <c r="AB36" s="48">
        <f>14+15+11+12+12+10</f>
        <v>74</v>
      </c>
      <c r="AC36" s="50">
        <f t="shared" si="3"/>
        <v>152.5</v>
      </c>
      <c r="AD36" s="42"/>
      <c r="AE36" s="43">
        <f t="shared" si="4"/>
        <v>152.5</v>
      </c>
      <c r="AF36" s="44">
        <f t="shared" si="5"/>
        <v>151.1109087</v>
      </c>
      <c r="AG36" s="45"/>
      <c r="AH36" s="46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</row>
    <row r="37" ht="12.75" customHeight="1">
      <c r="A37" s="31">
        <v>38.0</v>
      </c>
      <c r="B37" s="47">
        <v>34.0</v>
      </c>
      <c r="C37" s="32">
        <v>13.0</v>
      </c>
      <c r="D37" s="33" t="s">
        <v>62</v>
      </c>
      <c r="E37" s="34"/>
      <c r="F37" s="35">
        <v>7.0</v>
      </c>
      <c r="G37" s="35">
        <v>10.0</v>
      </c>
      <c r="H37" s="35">
        <v>10.0</v>
      </c>
      <c r="I37" s="35">
        <v>7.0</v>
      </c>
      <c r="J37" s="35">
        <v>9.0</v>
      </c>
      <c r="K37" s="35">
        <v>10.0</v>
      </c>
      <c r="L37" s="35"/>
      <c r="M37" s="35">
        <v>10.0</v>
      </c>
      <c r="N37" s="35"/>
      <c r="O37" s="35">
        <v>10.0</v>
      </c>
      <c r="P37" s="35">
        <v>10.0</v>
      </c>
      <c r="Q37" s="35">
        <v>10.0</v>
      </c>
      <c r="R37" s="35">
        <v>6.0</v>
      </c>
      <c r="S37" s="35">
        <v>8.0</v>
      </c>
      <c r="T37" s="35">
        <v>8.0</v>
      </c>
      <c r="U37" s="35">
        <v>8.0</v>
      </c>
      <c r="V37" s="35">
        <v>10.0</v>
      </c>
      <c r="W37" s="35">
        <v>7.0</v>
      </c>
      <c r="X37" s="36">
        <v>10.0</v>
      </c>
      <c r="Y37" s="37">
        <f t="shared" si="7"/>
        <v>17</v>
      </c>
      <c r="Z37" s="38">
        <f t="shared" si="2"/>
        <v>13.6</v>
      </c>
      <c r="AA37" s="48">
        <v>5.0</v>
      </c>
      <c r="AB37" s="49">
        <f>15+13+14+13+13</f>
        <v>68</v>
      </c>
      <c r="AC37" s="50">
        <f t="shared" si="3"/>
        <v>150</v>
      </c>
      <c r="AD37" s="42"/>
      <c r="AE37" s="43">
        <f t="shared" si="4"/>
        <v>150</v>
      </c>
      <c r="AF37" s="44">
        <f t="shared" si="5"/>
        <v>134.7903477</v>
      </c>
      <c r="AG37" s="45" t="s">
        <v>30</v>
      </c>
      <c r="AH37" s="46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</row>
    <row r="38" ht="12.75" customHeight="1">
      <c r="A38" s="47">
        <v>36.0</v>
      </c>
      <c r="B38" s="31">
        <v>35.0</v>
      </c>
      <c r="C38" s="32">
        <v>38.0</v>
      </c>
      <c r="D38" s="33" t="s">
        <v>61</v>
      </c>
      <c r="E38" s="34"/>
      <c r="F38" s="35">
        <v>8.0</v>
      </c>
      <c r="G38" s="35">
        <v>8.0</v>
      </c>
      <c r="H38" s="35">
        <v>10.0</v>
      </c>
      <c r="I38" s="35">
        <v>10.0</v>
      </c>
      <c r="J38" s="35">
        <v>8.0</v>
      </c>
      <c r="K38" s="35">
        <v>10.0</v>
      </c>
      <c r="L38" s="35"/>
      <c r="M38" s="35">
        <v>7.0</v>
      </c>
      <c r="N38" s="35"/>
      <c r="O38" s="35">
        <v>10.0</v>
      </c>
      <c r="P38" s="35">
        <v>9.5</v>
      </c>
      <c r="Q38" s="35">
        <v>10.0</v>
      </c>
      <c r="R38" s="35">
        <v>8.0</v>
      </c>
      <c r="S38" s="35">
        <v>9.0</v>
      </c>
      <c r="T38" s="35">
        <v>10.0</v>
      </c>
      <c r="U38" s="35">
        <v>4.0</v>
      </c>
      <c r="V38" s="35">
        <v>9.0</v>
      </c>
      <c r="W38" s="35">
        <v>9.0</v>
      </c>
      <c r="X38" s="36">
        <v>9.0</v>
      </c>
      <c r="Y38" s="37">
        <f t="shared" si="7"/>
        <v>17</v>
      </c>
      <c r="Z38" s="38">
        <f t="shared" si="2"/>
        <v>13.4</v>
      </c>
      <c r="AA38" s="48">
        <v>5.0</v>
      </c>
      <c r="AB38" s="48">
        <f>14+16+13+11+13</f>
        <v>67</v>
      </c>
      <c r="AC38" s="50">
        <f t="shared" si="3"/>
        <v>148.5</v>
      </c>
      <c r="AD38" s="42"/>
      <c r="AE38" s="43">
        <f t="shared" si="4"/>
        <v>148.5</v>
      </c>
      <c r="AF38" s="44">
        <f t="shared" si="5"/>
        <v>135.4341225</v>
      </c>
      <c r="AG38" s="55"/>
      <c r="AH38" s="46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</row>
    <row r="39" ht="12.75" customHeight="1">
      <c r="A39" s="47">
        <v>56.0</v>
      </c>
      <c r="B39" s="31">
        <v>36.0</v>
      </c>
      <c r="C39" s="32">
        <v>79.0</v>
      </c>
      <c r="D39" s="33" t="s">
        <v>37</v>
      </c>
      <c r="E39" s="34"/>
      <c r="F39" s="35">
        <v>7.0</v>
      </c>
      <c r="G39" s="35">
        <v>8.0</v>
      </c>
      <c r="H39" s="35">
        <v>9.0</v>
      </c>
      <c r="I39" s="35">
        <v>10.0</v>
      </c>
      <c r="J39" s="35">
        <v>8.0</v>
      </c>
      <c r="K39" s="35">
        <v>10.0</v>
      </c>
      <c r="L39" s="35"/>
      <c r="M39" s="35">
        <v>9.0</v>
      </c>
      <c r="N39" s="35"/>
      <c r="O39" s="35">
        <v>10.0</v>
      </c>
      <c r="P39" s="35">
        <v>9.5</v>
      </c>
      <c r="Q39" s="35">
        <v>10.0</v>
      </c>
      <c r="R39" s="35">
        <v>10.0</v>
      </c>
      <c r="S39" s="35">
        <v>10.0</v>
      </c>
      <c r="T39" s="35">
        <v>8.0</v>
      </c>
      <c r="U39" s="35">
        <v>5.0</v>
      </c>
      <c r="V39" s="35">
        <v>10.0</v>
      </c>
      <c r="W39" s="35">
        <v>8.0</v>
      </c>
      <c r="X39" s="36">
        <v>6.0</v>
      </c>
      <c r="Y39" s="37">
        <f t="shared" si="7"/>
        <v>17</v>
      </c>
      <c r="Z39" s="38">
        <f t="shared" si="2"/>
        <v>16.8</v>
      </c>
      <c r="AA39" s="48">
        <v>5.0</v>
      </c>
      <c r="AB39" s="49">
        <f>17+16+16+18+17</f>
        <v>84</v>
      </c>
      <c r="AC39" s="50">
        <f t="shared" si="3"/>
        <v>147.5</v>
      </c>
      <c r="AD39" s="42"/>
      <c r="AE39" s="43">
        <f t="shared" si="4"/>
        <v>147.5</v>
      </c>
      <c r="AF39" s="44">
        <f t="shared" si="5"/>
        <v>107.2973958</v>
      </c>
      <c r="AG39" s="45"/>
      <c r="AH39" s="46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</row>
    <row r="40" ht="12.75" customHeight="1">
      <c r="A40" s="31">
        <v>28.0</v>
      </c>
      <c r="B40" s="47">
        <v>37.0</v>
      </c>
      <c r="C40" s="32">
        <v>14.0</v>
      </c>
      <c r="D40" s="33" t="s">
        <v>62</v>
      </c>
      <c r="E40" s="34"/>
      <c r="F40" s="35">
        <v>7.0</v>
      </c>
      <c r="G40" s="35">
        <v>10.0</v>
      </c>
      <c r="H40" s="35">
        <v>10.0</v>
      </c>
      <c r="I40" s="35">
        <v>9.0</v>
      </c>
      <c r="J40" s="35">
        <v>9.0</v>
      </c>
      <c r="K40" s="35">
        <v>10.0</v>
      </c>
      <c r="L40" s="35"/>
      <c r="M40" s="35">
        <v>7.0</v>
      </c>
      <c r="N40" s="35"/>
      <c r="O40" s="35">
        <v>10.0</v>
      </c>
      <c r="P40" s="35">
        <v>10.0</v>
      </c>
      <c r="Q40" s="35">
        <v>10.0</v>
      </c>
      <c r="R40" s="35">
        <v>6.0</v>
      </c>
      <c r="S40" s="35">
        <v>8.0</v>
      </c>
      <c r="T40" s="35">
        <v>8.0</v>
      </c>
      <c r="U40" s="35">
        <v>8.0</v>
      </c>
      <c r="V40" s="35">
        <v>10.0</v>
      </c>
      <c r="W40" s="35">
        <v>8.0</v>
      </c>
      <c r="X40" s="36">
        <v>7.0</v>
      </c>
      <c r="Y40" s="37">
        <f t="shared" si="7"/>
        <v>17</v>
      </c>
      <c r="Z40" s="38">
        <f t="shared" si="2"/>
        <v>12.2</v>
      </c>
      <c r="AA40" s="48">
        <v>5.0</v>
      </c>
      <c r="AB40" s="48">
        <f>13+11+12+13+12</f>
        <v>61</v>
      </c>
      <c r="AC40" s="50">
        <f t="shared" si="3"/>
        <v>147</v>
      </c>
      <c r="AD40" s="42"/>
      <c r="AE40" s="43">
        <f t="shared" si="4"/>
        <v>147</v>
      </c>
      <c r="AF40" s="44">
        <f t="shared" si="5"/>
        <v>147.2529307</v>
      </c>
      <c r="AG40" s="45"/>
      <c r="AH40" s="46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</row>
    <row r="41" ht="12.75" customHeight="1">
      <c r="A41" s="47">
        <v>33.0</v>
      </c>
      <c r="B41" s="47">
        <v>38.0</v>
      </c>
      <c r="C41" s="32">
        <v>104.0</v>
      </c>
      <c r="D41" s="33" t="s">
        <v>56</v>
      </c>
      <c r="E41" s="34"/>
      <c r="F41" s="35">
        <v>10.0</v>
      </c>
      <c r="G41" s="35">
        <v>8.0</v>
      </c>
      <c r="H41" s="35">
        <v>10.0</v>
      </c>
      <c r="I41" s="64"/>
      <c r="J41" s="66"/>
      <c r="K41" s="35">
        <v>10.0</v>
      </c>
      <c r="L41" s="35"/>
      <c r="M41" s="35"/>
      <c r="N41" s="35"/>
      <c r="O41" s="35">
        <v>9.0</v>
      </c>
      <c r="P41" s="35">
        <v>10.0</v>
      </c>
      <c r="Q41" s="35">
        <v>10.0</v>
      </c>
      <c r="R41" s="35">
        <v>9.0</v>
      </c>
      <c r="S41" s="35">
        <v>10.0</v>
      </c>
      <c r="T41" s="35">
        <v>8.0</v>
      </c>
      <c r="U41" s="35">
        <v>10.0</v>
      </c>
      <c r="V41" s="35">
        <v>10.0</v>
      </c>
      <c r="W41" s="35">
        <v>10.0</v>
      </c>
      <c r="X41" s="36">
        <v>7.0</v>
      </c>
      <c r="Y41" s="37"/>
      <c r="Z41" s="52">
        <f t="shared" si="2"/>
        <v>12.8</v>
      </c>
      <c r="AA41" s="48">
        <v>5.0</v>
      </c>
      <c r="AB41" s="49">
        <f>14+13+13+12+12</f>
        <v>64</v>
      </c>
      <c r="AC41" s="50">
        <f t="shared" si="3"/>
        <v>131</v>
      </c>
      <c r="AD41" s="53">
        <v>15.0</v>
      </c>
      <c r="AE41" s="54">
        <f t="shared" si="4"/>
        <v>146</v>
      </c>
      <c r="AF41" s="44">
        <f t="shared" si="5"/>
        <v>139.3956846</v>
      </c>
      <c r="AG41" s="45" t="s">
        <v>23</v>
      </c>
      <c r="AH41" s="46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</row>
    <row r="42" ht="12.75" customHeight="1">
      <c r="A42" s="47">
        <v>32.0</v>
      </c>
      <c r="B42" s="47">
        <v>39.0</v>
      </c>
      <c r="C42" s="32">
        <v>94.0</v>
      </c>
      <c r="D42" s="33" t="s">
        <v>54</v>
      </c>
      <c r="E42" s="34"/>
      <c r="F42" s="35">
        <v>8.0</v>
      </c>
      <c r="G42" s="35">
        <v>8.0</v>
      </c>
      <c r="H42" s="35">
        <v>9.0</v>
      </c>
      <c r="I42" s="35">
        <v>5.0</v>
      </c>
      <c r="J42" s="35">
        <v>6.0</v>
      </c>
      <c r="K42" s="35">
        <v>10.0</v>
      </c>
      <c r="L42" s="35"/>
      <c r="M42" s="35">
        <v>7.0</v>
      </c>
      <c r="N42" s="35"/>
      <c r="O42" s="51">
        <v>10.0</v>
      </c>
      <c r="P42" s="35">
        <v>9.5</v>
      </c>
      <c r="Q42" s="35">
        <v>10.0</v>
      </c>
      <c r="R42" s="35">
        <v>9.0</v>
      </c>
      <c r="S42" s="35">
        <v>8.0</v>
      </c>
      <c r="T42" s="35">
        <v>10.0</v>
      </c>
      <c r="U42" s="35">
        <v>8.0</v>
      </c>
      <c r="V42" s="35">
        <v>10.0</v>
      </c>
      <c r="W42" s="35">
        <v>10.0</v>
      </c>
      <c r="X42" s="35">
        <v>7.0</v>
      </c>
      <c r="Y42" s="37">
        <f t="shared" ref="Y42:Y151" si="8">COUNTA(F42:X42)</f>
        <v>17</v>
      </c>
      <c r="Z42" s="38">
        <f t="shared" si="2"/>
        <v>12.66666667</v>
      </c>
      <c r="AA42" s="48">
        <v>6.0</v>
      </c>
      <c r="AB42" s="49">
        <f>14+11+13+12+13+13</f>
        <v>76</v>
      </c>
      <c r="AC42" s="50">
        <f t="shared" si="3"/>
        <v>144.5</v>
      </c>
      <c r="AD42" s="42"/>
      <c r="AE42" s="43">
        <f t="shared" si="4"/>
        <v>144.5</v>
      </c>
      <c r="AF42" s="44">
        <f t="shared" si="5"/>
        <v>139.4157849</v>
      </c>
      <c r="AG42" s="45"/>
      <c r="AH42" s="46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</row>
    <row r="43" ht="12.75" customHeight="1">
      <c r="A43" s="31">
        <v>40.0</v>
      </c>
      <c r="B43" s="31">
        <v>40.0</v>
      </c>
      <c r="C43" s="32">
        <v>52.0</v>
      </c>
      <c r="D43" s="33" t="s">
        <v>63</v>
      </c>
      <c r="E43" s="34"/>
      <c r="F43" s="35">
        <v>7.0</v>
      </c>
      <c r="G43" s="35">
        <v>10.0</v>
      </c>
      <c r="H43" s="35">
        <v>8.0</v>
      </c>
      <c r="I43" s="35"/>
      <c r="J43" s="35">
        <v>9.0</v>
      </c>
      <c r="K43" s="35">
        <v>10.0</v>
      </c>
      <c r="L43" s="35"/>
      <c r="M43" s="35">
        <v>8.5</v>
      </c>
      <c r="N43" s="35"/>
      <c r="O43" s="35">
        <v>9.0</v>
      </c>
      <c r="P43" s="35">
        <v>10.0</v>
      </c>
      <c r="Q43" s="35">
        <v>10.0</v>
      </c>
      <c r="R43" s="35">
        <v>6.0</v>
      </c>
      <c r="S43" s="35">
        <v>10.0</v>
      </c>
      <c r="T43" s="35">
        <v>6.0</v>
      </c>
      <c r="U43" s="35">
        <v>8.0</v>
      </c>
      <c r="V43" s="35">
        <v>10.0</v>
      </c>
      <c r="W43" s="35">
        <v>10.0</v>
      </c>
      <c r="X43" s="36">
        <v>9.0</v>
      </c>
      <c r="Y43" s="37">
        <f t="shared" si="8"/>
        <v>16</v>
      </c>
      <c r="Z43" s="38">
        <f t="shared" si="2"/>
        <v>12.8</v>
      </c>
      <c r="AA43" s="48">
        <v>5.0</v>
      </c>
      <c r="AB43" s="49">
        <f>13+13+13+13+12</f>
        <v>64</v>
      </c>
      <c r="AC43" s="50">
        <f t="shared" si="3"/>
        <v>140.5</v>
      </c>
      <c r="AD43" s="42"/>
      <c r="AE43" s="43">
        <f t="shared" si="4"/>
        <v>140.5</v>
      </c>
      <c r="AF43" s="44">
        <f t="shared" si="5"/>
        <v>134.1444773</v>
      </c>
      <c r="AG43" s="45"/>
      <c r="AH43" s="46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</row>
    <row r="44" ht="12.75" customHeight="1">
      <c r="A44" s="47">
        <v>53.0</v>
      </c>
      <c r="B44" s="31">
        <v>41.0</v>
      </c>
      <c r="C44" s="32">
        <v>87.0</v>
      </c>
      <c r="D44" s="33" t="s">
        <v>64</v>
      </c>
      <c r="E44" s="34"/>
      <c r="F44" s="35">
        <v>10.0</v>
      </c>
      <c r="G44" s="35"/>
      <c r="H44" s="35"/>
      <c r="I44" s="35"/>
      <c r="J44" s="35">
        <v>10.0</v>
      </c>
      <c r="K44" s="35">
        <v>10.0</v>
      </c>
      <c r="L44" s="35"/>
      <c r="M44" s="35">
        <v>8.5</v>
      </c>
      <c r="N44" s="35"/>
      <c r="O44" s="35">
        <v>9.0</v>
      </c>
      <c r="P44" s="35">
        <v>9.5</v>
      </c>
      <c r="Q44" s="35">
        <v>10.0</v>
      </c>
      <c r="R44" s="35">
        <v>8.5</v>
      </c>
      <c r="S44" s="35">
        <v>10.0</v>
      </c>
      <c r="T44" s="35">
        <v>6.0</v>
      </c>
      <c r="U44" s="35">
        <v>8.0</v>
      </c>
      <c r="V44" s="35">
        <v>7.0</v>
      </c>
      <c r="W44" s="35">
        <v>9.0</v>
      </c>
      <c r="X44" s="36">
        <v>7.0</v>
      </c>
      <c r="Y44" s="37">
        <f t="shared" si="8"/>
        <v>14</v>
      </c>
      <c r="Z44" s="52">
        <f t="shared" si="2"/>
        <v>14.4</v>
      </c>
      <c r="AA44" s="48">
        <v>5.0</v>
      </c>
      <c r="AB44" s="49">
        <f>15+15+14+15+13</f>
        <v>72</v>
      </c>
      <c r="AC44" s="50">
        <f t="shared" si="3"/>
        <v>122.5</v>
      </c>
      <c r="AD44" s="53">
        <v>15.0</v>
      </c>
      <c r="AE44" s="54">
        <f t="shared" si="4"/>
        <v>137.5</v>
      </c>
      <c r="AF44" s="44">
        <f t="shared" si="5"/>
        <v>116.6934955</v>
      </c>
      <c r="AG44" s="45" t="s">
        <v>23</v>
      </c>
      <c r="AH44" s="46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</row>
    <row r="45" ht="12.75" customHeight="1">
      <c r="A45" s="47">
        <v>43.0</v>
      </c>
      <c r="B45" s="47">
        <v>42.0</v>
      </c>
      <c r="C45" s="32">
        <v>109.0</v>
      </c>
      <c r="D45" s="33" t="s">
        <v>65</v>
      </c>
      <c r="E45" s="34"/>
      <c r="F45" s="35">
        <v>10.0</v>
      </c>
      <c r="G45" s="35">
        <v>9.0</v>
      </c>
      <c r="H45" s="35">
        <v>10.0</v>
      </c>
      <c r="I45" s="35">
        <v>10.0</v>
      </c>
      <c r="J45" s="35">
        <v>9.0</v>
      </c>
      <c r="K45" s="35"/>
      <c r="L45" s="35"/>
      <c r="M45" s="35">
        <v>10.0</v>
      </c>
      <c r="N45" s="35"/>
      <c r="O45" s="35">
        <v>9.0</v>
      </c>
      <c r="P45" s="35">
        <v>9.5</v>
      </c>
      <c r="Q45" s="64"/>
      <c r="R45" s="35"/>
      <c r="S45" s="35">
        <v>10.0</v>
      </c>
      <c r="T45" s="35">
        <v>10.0</v>
      </c>
      <c r="U45" s="35">
        <v>9.0</v>
      </c>
      <c r="V45" s="35">
        <v>10.0</v>
      </c>
      <c r="W45" s="35"/>
      <c r="X45" s="36">
        <v>6.0</v>
      </c>
      <c r="Y45" s="37">
        <f t="shared" si="8"/>
        <v>13</v>
      </c>
      <c r="Z45" s="52">
        <f t="shared" si="2"/>
        <v>12.85714286</v>
      </c>
      <c r="AA45" s="48">
        <v>7.0</v>
      </c>
      <c r="AB45" s="48">
        <f>12+12+14+13+13+12+14</f>
        <v>90</v>
      </c>
      <c r="AC45" s="50">
        <f t="shared" si="3"/>
        <v>121.5</v>
      </c>
      <c r="AD45" s="53">
        <v>15.0</v>
      </c>
      <c r="AE45" s="54">
        <f t="shared" si="4"/>
        <v>136.5</v>
      </c>
      <c r="AF45" s="44">
        <f t="shared" si="5"/>
        <v>129.7461934</v>
      </c>
      <c r="AG45" s="45" t="s">
        <v>16</v>
      </c>
      <c r="AH45" s="46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</row>
    <row r="46" ht="12.75" customHeight="1">
      <c r="A46" s="31">
        <v>41.0</v>
      </c>
      <c r="B46" s="47">
        <v>43.0</v>
      </c>
      <c r="C46" s="32">
        <v>54.0</v>
      </c>
      <c r="D46" s="33" t="s">
        <v>66</v>
      </c>
      <c r="E46" s="34"/>
      <c r="F46" s="35">
        <v>9.0</v>
      </c>
      <c r="G46" s="35">
        <v>8.0</v>
      </c>
      <c r="H46" s="35">
        <v>7.0</v>
      </c>
      <c r="I46" s="35">
        <v>10.0</v>
      </c>
      <c r="J46" s="35">
        <v>10.0</v>
      </c>
      <c r="K46" s="35">
        <v>10.0</v>
      </c>
      <c r="L46" s="35"/>
      <c r="M46" s="35">
        <v>9.5</v>
      </c>
      <c r="N46" s="35"/>
      <c r="O46" s="35">
        <v>9.0</v>
      </c>
      <c r="P46" s="35"/>
      <c r="Q46" s="35"/>
      <c r="R46" s="35"/>
      <c r="S46" s="35"/>
      <c r="T46" s="35">
        <v>10.0</v>
      </c>
      <c r="U46" s="35">
        <v>8.0</v>
      </c>
      <c r="V46" s="35">
        <v>10.0</v>
      </c>
      <c r="W46" s="35">
        <v>10.0</v>
      </c>
      <c r="X46" s="36">
        <v>10.0</v>
      </c>
      <c r="Y46" s="37">
        <f t="shared" si="8"/>
        <v>13</v>
      </c>
      <c r="Z46" s="38">
        <f t="shared" si="2"/>
        <v>12.42857143</v>
      </c>
      <c r="AA46" s="48">
        <v>7.0</v>
      </c>
      <c r="AB46" s="48">
        <f>14+11+11+13+11+14+13</f>
        <v>87</v>
      </c>
      <c r="AC46" s="50">
        <f t="shared" si="3"/>
        <v>120.5</v>
      </c>
      <c r="AD46" s="42">
        <v>15.0</v>
      </c>
      <c r="AE46" s="43">
        <f t="shared" si="4"/>
        <v>135.5</v>
      </c>
      <c r="AF46" s="44">
        <f t="shared" si="5"/>
        <v>133.2369019</v>
      </c>
      <c r="AG46" s="55"/>
      <c r="AH46" s="46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</row>
    <row r="47" ht="12.75" customHeight="1">
      <c r="A47" s="47">
        <v>34.0</v>
      </c>
      <c r="B47" s="47">
        <v>44.0</v>
      </c>
      <c r="C47" s="32">
        <v>67.0</v>
      </c>
      <c r="D47" s="33" t="s">
        <v>67</v>
      </c>
      <c r="E47" s="34"/>
      <c r="F47" s="35">
        <v>9.0</v>
      </c>
      <c r="G47" s="35">
        <v>10.0</v>
      </c>
      <c r="H47" s="35">
        <v>10.0</v>
      </c>
      <c r="I47" s="35">
        <v>9.0</v>
      </c>
      <c r="J47" s="35">
        <v>8.0</v>
      </c>
      <c r="K47" s="35">
        <v>10.0</v>
      </c>
      <c r="L47" s="35"/>
      <c r="M47" s="35">
        <v>7.0</v>
      </c>
      <c r="N47" s="35"/>
      <c r="O47" s="35">
        <v>10.0</v>
      </c>
      <c r="P47" s="35">
        <v>10.0</v>
      </c>
      <c r="Q47" s="35">
        <v>9.0</v>
      </c>
      <c r="R47" s="35">
        <v>8.0</v>
      </c>
      <c r="S47" s="35"/>
      <c r="T47" s="35"/>
      <c r="U47" s="35">
        <v>7.0</v>
      </c>
      <c r="V47" s="35">
        <v>10.0</v>
      </c>
      <c r="W47" s="35">
        <v>9.0</v>
      </c>
      <c r="X47" s="36">
        <v>9.0</v>
      </c>
      <c r="Y47" s="37">
        <f t="shared" si="8"/>
        <v>15</v>
      </c>
      <c r="Z47" s="38">
        <f t="shared" si="2"/>
        <v>12</v>
      </c>
      <c r="AA47" s="48">
        <v>4.0</v>
      </c>
      <c r="AB47" s="49">
        <f>13+11+10+14</f>
        <v>48</v>
      </c>
      <c r="AC47" s="50">
        <f t="shared" si="3"/>
        <v>135</v>
      </c>
      <c r="AD47" s="42"/>
      <c r="AE47" s="43">
        <f t="shared" si="4"/>
        <v>135</v>
      </c>
      <c r="AF47" s="44">
        <f t="shared" si="5"/>
        <v>137.4861547</v>
      </c>
      <c r="AG47" s="45"/>
      <c r="AH47" s="46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</row>
    <row r="48" ht="12.75" customHeight="1">
      <c r="A48" s="47">
        <v>35.0</v>
      </c>
      <c r="B48" s="31">
        <v>45.0</v>
      </c>
      <c r="C48" s="32">
        <v>115.0</v>
      </c>
      <c r="D48" s="33" t="s">
        <v>68</v>
      </c>
      <c r="E48" s="56"/>
      <c r="F48" s="51">
        <v>7.0</v>
      </c>
      <c r="G48" s="51"/>
      <c r="H48" s="51"/>
      <c r="I48" s="51"/>
      <c r="J48" s="51"/>
      <c r="K48" s="51">
        <v>10.0</v>
      </c>
      <c r="L48" s="51"/>
      <c r="M48" s="51">
        <v>8.0</v>
      </c>
      <c r="N48" s="51"/>
      <c r="O48" s="51">
        <v>10.0</v>
      </c>
      <c r="P48" s="51">
        <v>10.0</v>
      </c>
      <c r="Q48" s="51">
        <v>10.0</v>
      </c>
      <c r="R48" s="51">
        <v>6.0</v>
      </c>
      <c r="S48" s="51">
        <v>9.0</v>
      </c>
      <c r="T48" s="51">
        <v>8.0</v>
      </c>
      <c r="U48" s="51">
        <v>8.0</v>
      </c>
      <c r="V48" s="51">
        <v>10.0</v>
      </c>
      <c r="W48" s="51">
        <v>10.0</v>
      </c>
      <c r="X48" s="57">
        <v>10.0</v>
      </c>
      <c r="Y48" s="58">
        <f t="shared" si="8"/>
        <v>13</v>
      </c>
      <c r="Z48" s="38">
        <f t="shared" si="2"/>
        <v>11.71428571</v>
      </c>
      <c r="AA48" s="48">
        <v>7.0</v>
      </c>
      <c r="AB48" s="49">
        <f>13+11+12+11+11+11+13</f>
        <v>82</v>
      </c>
      <c r="AC48" s="50">
        <f t="shared" si="3"/>
        <v>116</v>
      </c>
      <c r="AD48" s="60">
        <v>15.0</v>
      </c>
      <c r="AE48" s="43">
        <f t="shared" si="4"/>
        <v>131</v>
      </c>
      <c r="AF48" s="44">
        <f t="shared" si="5"/>
        <v>136.666454</v>
      </c>
      <c r="AG48" s="45"/>
      <c r="AH48" s="46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</row>
    <row r="49" ht="12.75" customHeight="1">
      <c r="A49" s="31">
        <v>44.0</v>
      </c>
      <c r="B49" s="31">
        <v>46.0</v>
      </c>
      <c r="C49" s="32">
        <v>55.0</v>
      </c>
      <c r="D49" s="33" t="s">
        <v>66</v>
      </c>
      <c r="E49" s="34"/>
      <c r="F49" s="35">
        <v>9.0</v>
      </c>
      <c r="G49" s="35">
        <v>10.0</v>
      </c>
      <c r="H49" s="35">
        <v>9.0</v>
      </c>
      <c r="I49" s="66"/>
      <c r="J49" s="35">
        <v>10.0</v>
      </c>
      <c r="K49" s="35">
        <v>10.0</v>
      </c>
      <c r="L49" s="35"/>
      <c r="M49" s="35">
        <v>8.0</v>
      </c>
      <c r="N49" s="35"/>
      <c r="O49" s="35">
        <v>9.0</v>
      </c>
      <c r="P49" s="35"/>
      <c r="Q49" s="35"/>
      <c r="R49" s="35"/>
      <c r="S49" s="35"/>
      <c r="T49" s="35">
        <v>10.0</v>
      </c>
      <c r="U49" s="35">
        <v>9.0</v>
      </c>
      <c r="V49" s="35">
        <v>10.0</v>
      </c>
      <c r="W49" s="36">
        <v>10.0</v>
      </c>
      <c r="X49" s="35">
        <v>10.0</v>
      </c>
      <c r="Y49" s="58">
        <f t="shared" si="8"/>
        <v>12</v>
      </c>
      <c r="Z49" s="38">
        <f t="shared" si="2"/>
        <v>12.42857143</v>
      </c>
      <c r="AA49" s="48">
        <v>7.0</v>
      </c>
      <c r="AB49" s="49">
        <f>12+13+13+13+12+13+11</f>
        <v>87</v>
      </c>
      <c r="AC49" s="50">
        <f t="shared" si="3"/>
        <v>114</v>
      </c>
      <c r="AD49" s="42">
        <v>15.0</v>
      </c>
      <c r="AE49" s="43">
        <f t="shared" si="4"/>
        <v>129</v>
      </c>
      <c r="AF49" s="44">
        <f t="shared" si="5"/>
        <v>126.8454638</v>
      </c>
      <c r="AG49" s="45" t="s">
        <v>18</v>
      </c>
      <c r="AH49" s="46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</row>
    <row r="50" ht="12.75" customHeight="1">
      <c r="A50" s="47">
        <v>45.0</v>
      </c>
      <c r="B50" s="47">
        <v>47.0</v>
      </c>
      <c r="C50" s="32">
        <v>66.0</v>
      </c>
      <c r="D50" s="33" t="s">
        <v>67</v>
      </c>
      <c r="E50" s="34"/>
      <c r="F50" s="35">
        <v>6.0</v>
      </c>
      <c r="G50" s="35">
        <v>4.0</v>
      </c>
      <c r="H50" s="35">
        <v>9.0</v>
      </c>
      <c r="I50" s="35">
        <v>9.0</v>
      </c>
      <c r="J50" s="35">
        <v>8.0</v>
      </c>
      <c r="K50" s="35">
        <v>10.0</v>
      </c>
      <c r="L50" s="35"/>
      <c r="M50" s="35">
        <v>7.0</v>
      </c>
      <c r="N50" s="35"/>
      <c r="O50" s="35">
        <v>10.0</v>
      </c>
      <c r="P50" s="35">
        <v>10.0</v>
      </c>
      <c r="Q50" s="35">
        <v>9.0</v>
      </c>
      <c r="R50" s="35">
        <v>8.0</v>
      </c>
      <c r="S50" s="35"/>
      <c r="T50" s="35"/>
      <c r="U50" s="35">
        <v>7.0</v>
      </c>
      <c r="V50" s="35">
        <v>10.0</v>
      </c>
      <c r="W50" s="35">
        <v>10.0</v>
      </c>
      <c r="X50" s="35">
        <v>8.0</v>
      </c>
      <c r="Y50" s="58">
        <f t="shared" si="8"/>
        <v>15</v>
      </c>
      <c r="Z50" s="52">
        <f t="shared" si="2"/>
        <v>12.16666667</v>
      </c>
      <c r="AA50" s="48">
        <v>6.0</v>
      </c>
      <c r="AB50" s="49">
        <f>12+13+12+11+13+12</f>
        <v>73</v>
      </c>
      <c r="AC50" s="50">
        <f t="shared" si="3"/>
        <v>125</v>
      </c>
      <c r="AD50" s="53"/>
      <c r="AE50" s="54">
        <f t="shared" si="4"/>
        <v>125</v>
      </c>
      <c r="AF50" s="44">
        <f t="shared" si="5"/>
        <v>125.5581321</v>
      </c>
      <c r="AG50" s="45"/>
      <c r="AH50" s="46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</row>
    <row r="51" ht="12.75" customHeight="1">
      <c r="A51" s="47">
        <v>47.0</v>
      </c>
      <c r="B51" s="47">
        <v>48.0</v>
      </c>
      <c r="C51" s="32">
        <v>33.0</v>
      </c>
      <c r="D51" s="33" t="s">
        <v>69</v>
      </c>
      <c r="E51" s="34"/>
      <c r="F51" s="35">
        <v>8.0</v>
      </c>
      <c r="G51" s="35">
        <v>8.0</v>
      </c>
      <c r="H51" s="35">
        <v>10.0</v>
      </c>
      <c r="I51" s="35">
        <v>8.0</v>
      </c>
      <c r="J51" s="35">
        <v>10.0</v>
      </c>
      <c r="K51" s="35">
        <v>10.0</v>
      </c>
      <c r="L51" s="35"/>
      <c r="M51" s="35">
        <v>8.5</v>
      </c>
      <c r="N51" s="35"/>
      <c r="O51" s="35">
        <v>10.0</v>
      </c>
      <c r="P51" s="35"/>
      <c r="Q51" s="35">
        <v>10.0</v>
      </c>
      <c r="R51" s="35">
        <v>7.0</v>
      </c>
      <c r="S51" s="35"/>
      <c r="T51" s="35"/>
      <c r="U51" s="35"/>
      <c r="V51" s="35">
        <v>10.0</v>
      </c>
      <c r="W51" s="35"/>
      <c r="X51" s="36">
        <v>8.0</v>
      </c>
      <c r="Y51" s="37">
        <f t="shared" si="8"/>
        <v>12</v>
      </c>
      <c r="Z51" s="38">
        <f t="shared" si="2"/>
        <v>12.4</v>
      </c>
      <c r="AA51" s="48">
        <v>5.0</v>
      </c>
      <c r="AB51" s="48">
        <f>13+12+12+13+12</f>
        <v>62</v>
      </c>
      <c r="AC51" s="50">
        <f t="shared" si="3"/>
        <v>107.5</v>
      </c>
      <c r="AD51" s="42">
        <v>15.0</v>
      </c>
      <c r="AE51" s="43">
        <f t="shared" si="4"/>
        <v>122.5</v>
      </c>
      <c r="AF51" s="44">
        <f t="shared" si="5"/>
        <v>120.7315695</v>
      </c>
      <c r="AG51" s="45"/>
      <c r="AH51" s="46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</row>
    <row r="52" ht="12.75" customHeight="1">
      <c r="A52" s="31">
        <v>50.0</v>
      </c>
      <c r="B52" s="47">
        <v>49.0</v>
      </c>
      <c r="C52" s="32">
        <v>145.0</v>
      </c>
      <c r="D52" s="33" t="s">
        <v>70</v>
      </c>
      <c r="E52" s="34"/>
      <c r="F52" s="35">
        <v>9.0</v>
      </c>
      <c r="G52" s="35">
        <v>10.0</v>
      </c>
      <c r="H52" s="35">
        <v>10.0</v>
      </c>
      <c r="I52" s="35">
        <v>10.0</v>
      </c>
      <c r="J52" s="35">
        <v>9.0</v>
      </c>
      <c r="K52" s="35">
        <v>10.0</v>
      </c>
      <c r="L52" s="35"/>
      <c r="M52" s="35">
        <v>9.5</v>
      </c>
      <c r="N52" s="35"/>
      <c r="O52" s="35">
        <v>10.0</v>
      </c>
      <c r="P52" s="35">
        <v>10.0</v>
      </c>
      <c r="Q52" s="35">
        <v>10.0</v>
      </c>
      <c r="R52" s="35">
        <v>8.0</v>
      </c>
      <c r="S52" s="35"/>
      <c r="T52" s="35"/>
      <c r="U52" s="35"/>
      <c r="V52" s="35"/>
      <c r="W52" s="35"/>
      <c r="X52" s="36"/>
      <c r="Y52" s="37">
        <f t="shared" si="8"/>
        <v>11</v>
      </c>
      <c r="Z52" s="38">
        <f t="shared" si="2"/>
        <v>12.5</v>
      </c>
      <c r="AA52" s="48">
        <v>4.0</v>
      </c>
      <c r="AB52" s="49">
        <f>12+13+13+12</f>
        <v>50</v>
      </c>
      <c r="AC52" s="50">
        <f t="shared" si="3"/>
        <v>105.5</v>
      </c>
      <c r="AD52" s="42">
        <v>15.0</v>
      </c>
      <c r="AE52" s="43">
        <f t="shared" si="4"/>
        <v>120.5</v>
      </c>
      <c r="AF52" s="44">
        <f t="shared" si="5"/>
        <v>117.8103583</v>
      </c>
      <c r="AG52" s="45" t="s">
        <v>20</v>
      </c>
      <c r="AH52" s="46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</row>
    <row r="53" ht="12.75" customHeight="1">
      <c r="A53" s="47">
        <v>68.0</v>
      </c>
      <c r="B53" s="31">
        <v>50.0</v>
      </c>
      <c r="C53" s="32">
        <v>4.0</v>
      </c>
      <c r="D53" s="33" t="s">
        <v>71</v>
      </c>
      <c r="E53" s="34"/>
      <c r="F53" s="35"/>
      <c r="G53" s="35"/>
      <c r="H53" s="35"/>
      <c r="I53" s="35"/>
      <c r="J53" s="35"/>
      <c r="K53" s="35">
        <v>10.0</v>
      </c>
      <c r="L53" s="35"/>
      <c r="M53" s="35">
        <v>10.0</v>
      </c>
      <c r="N53" s="35"/>
      <c r="O53" s="35">
        <v>10.0</v>
      </c>
      <c r="P53" s="35">
        <v>10.0</v>
      </c>
      <c r="Q53" s="35">
        <v>9.5</v>
      </c>
      <c r="R53" s="35">
        <v>10.0</v>
      </c>
      <c r="S53" s="35">
        <v>10.0</v>
      </c>
      <c r="T53" s="35">
        <v>9.0</v>
      </c>
      <c r="U53" s="35">
        <v>7.0</v>
      </c>
      <c r="V53" s="35">
        <v>10.0</v>
      </c>
      <c r="W53" s="35">
        <v>10.0</v>
      </c>
      <c r="X53" s="36"/>
      <c r="Y53" s="37">
        <f t="shared" si="8"/>
        <v>11</v>
      </c>
      <c r="Z53" s="38">
        <f t="shared" si="2"/>
        <v>16.4</v>
      </c>
      <c r="AA53" s="48">
        <v>5.0</v>
      </c>
      <c r="AB53" s="48">
        <f>18+18+14+16+16</f>
        <v>82</v>
      </c>
      <c r="AC53" s="50">
        <f t="shared" si="3"/>
        <v>105.5</v>
      </c>
      <c r="AD53" s="42">
        <v>15.0</v>
      </c>
      <c r="AE53" s="43">
        <f t="shared" si="4"/>
        <v>120.5</v>
      </c>
      <c r="AF53" s="44">
        <f t="shared" si="5"/>
        <v>89.79448043</v>
      </c>
      <c r="AG53" s="55"/>
      <c r="AH53" s="46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</row>
    <row r="54" ht="12.75" customHeight="1">
      <c r="A54" s="47">
        <v>65.0</v>
      </c>
      <c r="B54" s="31">
        <v>51.0</v>
      </c>
      <c r="C54" s="32">
        <v>118.0</v>
      </c>
      <c r="D54" s="33" t="s">
        <v>72</v>
      </c>
      <c r="E54" s="34"/>
      <c r="F54" s="35">
        <v>8.0</v>
      </c>
      <c r="G54" s="35"/>
      <c r="H54" s="35"/>
      <c r="I54" s="35"/>
      <c r="J54" s="35">
        <v>10.0</v>
      </c>
      <c r="K54" s="35">
        <v>10.0</v>
      </c>
      <c r="L54" s="35"/>
      <c r="M54" s="35">
        <v>9.0</v>
      </c>
      <c r="N54" s="35"/>
      <c r="O54" s="35">
        <v>10.0</v>
      </c>
      <c r="P54" s="35">
        <v>8.5</v>
      </c>
      <c r="Q54" s="35">
        <v>10.0</v>
      </c>
      <c r="R54" s="35"/>
      <c r="S54" s="35">
        <v>10.0</v>
      </c>
      <c r="T54" s="35">
        <v>7.0</v>
      </c>
      <c r="U54" s="35">
        <v>8.0</v>
      </c>
      <c r="V54" s="35">
        <v>9.0</v>
      </c>
      <c r="W54" s="35">
        <v>8.0</v>
      </c>
      <c r="X54" s="36">
        <v>9.0</v>
      </c>
      <c r="Y54" s="37">
        <f t="shared" si="8"/>
        <v>13</v>
      </c>
      <c r="Z54" s="52">
        <f t="shared" si="2"/>
        <v>15</v>
      </c>
      <c r="AA54" s="48">
        <v>5.0</v>
      </c>
      <c r="AB54" s="49">
        <f>15+16+15+13+16</f>
        <v>75</v>
      </c>
      <c r="AC54" s="50">
        <f t="shared" si="3"/>
        <v>116.5</v>
      </c>
      <c r="AD54" s="53"/>
      <c r="AE54" s="54">
        <f t="shared" si="4"/>
        <v>116.5</v>
      </c>
      <c r="AF54" s="44">
        <f t="shared" si="5"/>
        <v>94.91636753</v>
      </c>
      <c r="AG54" s="55"/>
      <c r="AH54" s="46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</row>
    <row r="55" ht="12.75" customHeight="1">
      <c r="A55" s="31">
        <v>55.0</v>
      </c>
      <c r="B55" s="47">
        <v>52.0</v>
      </c>
      <c r="C55" s="32">
        <v>7.0</v>
      </c>
      <c r="D55" s="33" t="s">
        <v>73</v>
      </c>
      <c r="E55" s="34"/>
      <c r="F55" s="35"/>
      <c r="G55" s="35"/>
      <c r="H55" s="35"/>
      <c r="I55" s="35"/>
      <c r="J55" s="35"/>
      <c r="K55" s="35"/>
      <c r="L55" s="35"/>
      <c r="M55" s="35">
        <v>10.0</v>
      </c>
      <c r="N55" s="35"/>
      <c r="O55" s="35">
        <v>9.0</v>
      </c>
      <c r="P55" s="35">
        <v>8.5</v>
      </c>
      <c r="Q55" s="35">
        <v>10.0</v>
      </c>
      <c r="R55" s="35">
        <v>9.0</v>
      </c>
      <c r="S55" s="35">
        <v>9.0</v>
      </c>
      <c r="T55" s="35">
        <v>7.0</v>
      </c>
      <c r="U55" s="35">
        <v>8.0</v>
      </c>
      <c r="V55" s="35">
        <v>10.0</v>
      </c>
      <c r="W55" s="35">
        <v>9.0</v>
      </c>
      <c r="X55" s="36">
        <v>10.0</v>
      </c>
      <c r="Y55" s="37">
        <f t="shared" si="8"/>
        <v>11</v>
      </c>
      <c r="Z55" s="38">
        <f t="shared" si="2"/>
        <v>13</v>
      </c>
      <c r="AA55" s="48">
        <v>4.0</v>
      </c>
      <c r="AB55" s="49">
        <f>13+12+14+13</f>
        <v>52</v>
      </c>
      <c r="AC55" s="50">
        <f t="shared" si="3"/>
        <v>99.5</v>
      </c>
      <c r="AD55" s="42">
        <v>15.0</v>
      </c>
      <c r="AE55" s="43">
        <f t="shared" si="4"/>
        <v>114.5</v>
      </c>
      <c r="AF55" s="44">
        <f t="shared" si="5"/>
        <v>107.6387331</v>
      </c>
      <c r="AG55" s="55"/>
      <c r="AH55" s="46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</row>
    <row r="56" ht="12.75" customHeight="1">
      <c r="A56" s="47">
        <v>58.0</v>
      </c>
      <c r="B56" s="47">
        <v>53.0</v>
      </c>
      <c r="C56" s="32">
        <v>3.0</v>
      </c>
      <c r="D56" s="33" t="s">
        <v>74</v>
      </c>
      <c r="E56" s="34"/>
      <c r="F56" s="35"/>
      <c r="G56" s="35"/>
      <c r="H56" s="35"/>
      <c r="I56" s="35"/>
      <c r="J56" s="35"/>
      <c r="K56" s="35">
        <v>10.0</v>
      </c>
      <c r="L56" s="35"/>
      <c r="M56" s="35">
        <v>8.0</v>
      </c>
      <c r="N56" s="35"/>
      <c r="O56" s="35">
        <v>10.0</v>
      </c>
      <c r="P56" s="35">
        <v>9.5</v>
      </c>
      <c r="Q56" s="35">
        <v>10.0</v>
      </c>
      <c r="R56" s="35">
        <v>8.0</v>
      </c>
      <c r="S56" s="35">
        <v>9.0</v>
      </c>
      <c r="T56" s="35">
        <v>8.0</v>
      </c>
      <c r="U56" s="35">
        <v>8.0</v>
      </c>
      <c r="V56" s="35">
        <v>9.0</v>
      </c>
      <c r="W56" s="35">
        <v>10.0</v>
      </c>
      <c r="X56" s="36"/>
      <c r="Y56" s="37">
        <f t="shared" si="8"/>
        <v>11</v>
      </c>
      <c r="Z56" s="38">
        <f t="shared" si="2"/>
        <v>13.33333333</v>
      </c>
      <c r="AA56" s="48">
        <v>6.0</v>
      </c>
      <c r="AB56" s="49">
        <f>14+14+13+13+13+13</f>
        <v>80</v>
      </c>
      <c r="AC56" s="50">
        <f t="shared" si="3"/>
        <v>99.5</v>
      </c>
      <c r="AD56" s="42">
        <v>15.0</v>
      </c>
      <c r="AE56" s="54">
        <f t="shared" si="4"/>
        <v>114.5</v>
      </c>
      <c r="AF56" s="44">
        <f t="shared" si="5"/>
        <v>104.9477647</v>
      </c>
      <c r="AG56" s="45"/>
      <c r="AH56" s="46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</row>
    <row r="57" ht="12.75" customHeight="1">
      <c r="A57" s="47">
        <v>48.0</v>
      </c>
      <c r="B57" s="47">
        <v>54.0</v>
      </c>
      <c r="C57" s="32">
        <v>122.0</v>
      </c>
      <c r="D57" s="33" t="s">
        <v>75</v>
      </c>
      <c r="E57" s="34"/>
      <c r="F57" s="51">
        <v>6.0</v>
      </c>
      <c r="G57" s="51">
        <v>10.0</v>
      </c>
      <c r="H57" s="51">
        <v>7.0</v>
      </c>
      <c r="I57" s="51"/>
      <c r="J57" s="51">
        <v>9.0</v>
      </c>
      <c r="K57" s="51"/>
      <c r="L57" s="51"/>
      <c r="M57" s="51"/>
      <c r="N57" s="51"/>
      <c r="O57" s="51"/>
      <c r="P57" s="51"/>
      <c r="Q57" s="67"/>
      <c r="R57" s="51">
        <v>8.0</v>
      </c>
      <c r="S57" s="51">
        <v>9.0</v>
      </c>
      <c r="T57" s="51">
        <v>9.0</v>
      </c>
      <c r="U57" s="51">
        <v>10.0</v>
      </c>
      <c r="V57" s="51">
        <v>10.0</v>
      </c>
      <c r="W57" s="51">
        <v>10.0</v>
      </c>
      <c r="X57" s="57">
        <v>10.0</v>
      </c>
      <c r="Y57" s="58">
        <f t="shared" si="8"/>
        <v>11</v>
      </c>
      <c r="Z57" s="38">
        <f t="shared" si="2"/>
        <v>11.625</v>
      </c>
      <c r="AA57" s="48">
        <v>8.0</v>
      </c>
      <c r="AB57" s="49">
        <f>13+11+13+9+11+12+12+12</f>
        <v>93</v>
      </c>
      <c r="AC57" s="50">
        <f t="shared" si="3"/>
        <v>98</v>
      </c>
      <c r="AD57" s="42">
        <v>15.0</v>
      </c>
      <c r="AE57" s="43">
        <f t="shared" si="4"/>
        <v>113</v>
      </c>
      <c r="AF57" s="44">
        <f t="shared" si="5"/>
        <v>118.793294</v>
      </c>
      <c r="AG57" s="45"/>
      <c r="AH57" s="46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</row>
    <row r="58" ht="12.75" customHeight="1">
      <c r="A58" s="31">
        <v>71.0</v>
      </c>
      <c r="B58" s="31">
        <v>55.0</v>
      </c>
      <c r="C58" s="32">
        <v>35.0</v>
      </c>
      <c r="D58" s="33" t="s">
        <v>76</v>
      </c>
      <c r="E58" s="34"/>
      <c r="F58" s="35">
        <v>8.0</v>
      </c>
      <c r="G58" s="35">
        <v>10.0</v>
      </c>
      <c r="H58" s="35">
        <v>10.0</v>
      </c>
      <c r="I58" s="35">
        <v>9.0</v>
      </c>
      <c r="J58" s="35">
        <v>10.0</v>
      </c>
      <c r="K58" s="35">
        <v>10.0</v>
      </c>
      <c r="L58" s="35"/>
      <c r="M58" s="35">
        <v>9.0</v>
      </c>
      <c r="N58" s="35"/>
      <c r="O58" s="35">
        <v>10.0</v>
      </c>
      <c r="P58" s="35"/>
      <c r="Q58" s="64"/>
      <c r="R58" s="35"/>
      <c r="S58" s="35"/>
      <c r="T58" s="35"/>
      <c r="U58" s="35"/>
      <c r="V58" s="35"/>
      <c r="W58" s="35">
        <v>10.0</v>
      </c>
      <c r="X58" s="36">
        <v>10.0</v>
      </c>
      <c r="Y58" s="37">
        <f t="shared" si="8"/>
        <v>10</v>
      </c>
      <c r="Z58" s="38">
        <f t="shared" si="2"/>
        <v>15.5</v>
      </c>
      <c r="AA58" s="48">
        <v>6.0</v>
      </c>
      <c r="AB58" s="48">
        <f>16+16+15+15+16++15</f>
        <v>93</v>
      </c>
      <c r="AC58" s="50">
        <f t="shared" si="3"/>
        <v>96</v>
      </c>
      <c r="AD58" s="42">
        <v>15.0</v>
      </c>
      <c r="AE58" s="43">
        <f t="shared" si="4"/>
        <v>111</v>
      </c>
      <c r="AF58" s="44">
        <f t="shared" si="5"/>
        <v>87.51806836</v>
      </c>
      <c r="AG58" s="45"/>
      <c r="AH58" s="46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</row>
    <row r="59" ht="12.75" customHeight="1">
      <c r="A59" s="47">
        <v>54.0</v>
      </c>
      <c r="B59" s="31">
        <v>56.0</v>
      </c>
      <c r="C59" s="32">
        <v>146.0</v>
      </c>
      <c r="D59" s="33" t="s">
        <v>77</v>
      </c>
      <c r="E59" s="34"/>
      <c r="F59" s="35">
        <v>6.0</v>
      </c>
      <c r="G59" s="35">
        <v>7.0</v>
      </c>
      <c r="H59" s="35">
        <v>8.0</v>
      </c>
      <c r="I59" s="35">
        <v>10.0</v>
      </c>
      <c r="J59" s="35">
        <v>8.0</v>
      </c>
      <c r="K59" s="35">
        <v>10.0</v>
      </c>
      <c r="L59" s="35"/>
      <c r="M59" s="35">
        <v>8.0</v>
      </c>
      <c r="N59" s="35"/>
      <c r="O59" s="35">
        <v>10.0</v>
      </c>
      <c r="P59" s="35">
        <v>10.0</v>
      </c>
      <c r="Q59" s="35">
        <v>10.0</v>
      </c>
      <c r="R59" s="35">
        <v>8.0</v>
      </c>
      <c r="S59" s="35"/>
      <c r="T59" s="35"/>
      <c r="U59" s="35"/>
      <c r="V59" s="35"/>
      <c r="W59" s="35"/>
      <c r="X59" s="36"/>
      <c r="Y59" s="37">
        <f t="shared" si="8"/>
        <v>11</v>
      </c>
      <c r="Z59" s="38">
        <f t="shared" si="2"/>
        <v>12.25</v>
      </c>
      <c r="AA59" s="48">
        <v>4.0</v>
      </c>
      <c r="AB59" s="49">
        <f>13+11+11+14</f>
        <v>49</v>
      </c>
      <c r="AC59" s="50">
        <f t="shared" si="3"/>
        <v>95</v>
      </c>
      <c r="AD59" s="42">
        <v>15.0</v>
      </c>
      <c r="AE59" s="43">
        <f t="shared" si="4"/>
        <v>110</v>
      </c>
      <c r="AF59" s="44">
        <f t="shared" si="5"/>
        <v>109.7395158</v>
      </c>
      <c r="AG59" s="45" t="s">
        <v>23</v>
      </c>
      <c r="AH59" s="46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</row>
    <row r="60" ht="12.75" customHeight="1">
      <c r="A60" s="47">
        <v>57.0</v>
      </c>
      <c r="B60" s="47">
        <v>57.0</v>
      </c>
      <c r="C60" s="32">
        <v>113.0</v>
      </c>
      <c r="D60" s="33" t="s">
        <v>78</v>
      </c>
      <c r="E60" s="34"/>
      <c r="F60" s="35">
        <v>8.0</v>
      </c>
      <c r="G60" s="35"/>
      <c r="H60" s="35"/>
      <c r="I60" s="35"/>
      <c r="J60" s="35"/>
      <c r="K60" s="35">
        <v>10.0</v>
      </c>
      <c r="L60" s="35"/>
      <c r="M60" s="35">
        <v>8.0</v>
      </c>
      <c r="N60" s="35"/>
      <c r="O60" s="35">
        <v>9.0</v>
      </c>
      <c r="P60" s="35">
        <v>9.0</v>
      </c>
      <c r="Q60" s="35">
        <v>10.0</v>
      </c>
      <c r="R60" s="35"/>
      <c r="S60" s="35">
        <v>5.0</v>
      </c>
      <c r="T60" s="35">
        <v>6.0</v>
      </c>
      <c r="U60" s="35">
        <v>6.0</v>
      </c>
      <c r="V60" s="35">
        <v>9.0</v>
      </c>
      <c r="W60" s="35">
        <v>10.0</v>
      </c>
      <c r="X60" s="36">
        <v>4.5</v>
      </c>
      <c r="Y60" s="37">
        <f t="shared" si="8"/>
        <v>12</v>
      </c>
      <c r="Z60" s="38">
        <f t="shared" si="2"/>
        <v>12.71428571</v>
      </c>
      <c r="AA60" s="48">
        <v>7.0</v>
      </c>
      <c r="AB60" s="48">
        <f>13+16+11+13+11+11+14</f>
        <v>89</v>
      </c>
      <c r="AC60" s="50">
        <f t="shared" si="3"/>
        <v>94.5</v>
      </c>
      <c r="AD60" s="42">
        <v>15.0</v>
      </c>
      <c r="AE60" s="43">
        <f t="shared" si="4"/>
        <v>109.5</v>
      </c>
      <c r="AF60" s="44">
        <f t="shared" si="5"/>
        <v>105.2515731</v>
      </c>
      <c r="AG60" s="45"/>
      <c r="AH60" s="46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</row>
    <row r="61" ht="12.75" customHeight="1">
      <c r="A61" s="31">
        <v>61.0</v>
      </c>
      <c r="B61" s="47">
        <v>58.0</v>
      </c>
      <c r="C61" s="32">
        <v>95.0</v>
      </c>
      <c r="D61" s="33" t="s">
        <v>79</v>
      </c>
      <c r="E61" s="34"/>
      <c r="F61" s="35"/>
      <c r="G61" s="35"/>
      <c r="H61" s="35"/>
      <c r="I61" s="35"/>
      <c r="J61" s="35"/>
      <c r="K61" s="35">
        <v>10.0</v>
      </c>
      <c r="L61" s="35"/>
      <c r="M61" s="35">
        <v>8.0</v>
      </c>
      <c r="N61" s="35"/>
      <c r="O61" s="35">
        <v>9.0</v>
      </c>
      <c r="P61" s="35">
        <v>8.5</v>
      </c>
      <c r="Q61" s="35">
        <v>10.0</v>
      </c>
      <c r="R61" s="35"/>
      <c r="S61" s="35"/>
      <c r="T61" s="35">
        <v>9.0</v>
      </c>
      <c r="U61" s="35">
        <v>9.0</v>
      </c>
      <c r="V61" s="35">
        <v>10.0</v>
      </c>
      <c r="W61" s="35">
        <v>10.0</v>
      </c>
      <c r="X61" s="36">
        <v>7.0</v>
      </c>
      <c r="Y61" s="37">
        <f t="shared" si="8"/>
        <v>10</v>
      </c>
      <c r="Z61" s="52">
        <f t="shared" si="2"/>
        <v>12.8</v>
      </c>
      <c r="AA61" s="48">
        <v>5.0</v>
      </c>
      <c r="AB61" s="48">
        <f>13+13+13+13+12</f>
        <v>64</v>
      </c>
      <c r="AC61" s="50">
        <f t="shared" si="3"/>
        <v>90.5</v>
      </c>
      <c r="AD61" s="53">
        <v>15.0</v>
      </c>
      <c r="AE61" s="54">
        <f t="shared" si="4"/>
        <v>105.5</v>
      </c>
      <c r="AF61" s="44">
        <f t="shared" si="5"/>
        <v>100.7277036</v>
      </c>
      <c r="AG61" s="45" t="s">
        <v>20</v>
      </c>
      <c r="AH61" s="46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</row>
    <row r="62" ht="12.75" customHeight="1">
      <c r="A62" s="47">
        <v>63.0</v>
      </c>
      <c r="B62" s="47">
        <v>59.0</v>
      </c>
      <c r="C62" s="32">
        <v>61.0</v>
      </c>
      <c r="D62" s="33" t="s">
        <v>80</v>
      </c>
      <c r="E62" s="34"/>
      <c r="F62" s="35"/>
      <c r="G62" s="35">
        <v>9.0</v>
      </c>
      <c r="H62" s="35">
        <v>6.0</v>
      </c>
      <c r="I62" s="35">
        <v>7.0</v>
      </c>
      <c r="J62" s="35">
        <v>8.0</v>
      </c>
      <c r="K62" s="35"/>
      <c r="L62" s="64"/>
      <c r="M62" s="35"/>
      <c r="N62" s="35"/>
      <c r="O62" s="35"/>
      <c r="P62" s="35">
        <v>10.0</v>
      </c>
      <c r="Q62" s="35">
        <v>10.0</v>
      </c>
      <c r="R62" s="35">
        <v>9.0</v>
      </c>
      <c r="S62" s="35">
        <v>8.0</v>
      </c>
      <c r="T62" s="35">
        <v>10.0</v>
      </c>
      <c r="U62" s="35">
        <v>8.0</v>
      </c>
      <c r="V62" s="35">
        <v>10.0</v>
      </c>
      <c r="W62" s="35"/>
      <c r="X62" s="36">
        <v>10.0</v>
      </c>
      <c r="Y62" s="37">
        <f t="shared" si="8"/>
        <v>12</v>
      </c>
      <c r="Z62" s="52">
        <f t="shared" si="2"/>
        <v>13</v>
      </c>
      <c r="AA62" s="48">
        <v>7.0</v>
      </c>
      <c r="AB62" s="49">
        <f>12+12+13+14+15+12+13</f>
        <v>91</v>
      </c>
      <c r="AC62" s="50">
        <f t="shared" si="3"/>
        <v>105</v>
      </c>
      <c r="AD62" s="42"/>
      <c r="AE62" s="43">
        <f t="shared" si="4"/>
        <v>105</v>
      </c>
      <c r="AF62" s="44">
        <f t="shared" si="5"/>
        <v>98.70800849</v>
      </c>
      <c r="AG62" s="45" t="s">
        <v>23</v>
      </c>
      <c r="AH62" s="46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</row>
    <row r="63" ht="12.75" customHeight="1">
      <c r="A63" s="47">
        <v>62.0</v>
      </c>
      <c r="B63" s="31">
        <v>60.0</v>
      </c>
      <c r="C63" s="32">
        <v>117.0</v>
      </c>
      <c r="D63" s="33" t="s">
        <v>81</v>
      </c>
      <c r="E63" s="34"/>
      <c r="F63" s="35">
        <v>5.0</v>
      </c>
      <c r="G63" s="35"/>
      <c r="H63" s="35"/>
      <c r="I63" s="35"/>
      <c r="J63" s="35"/>
      <c r="K63" s="35">
        <v>10.0</v>
      </c>
      <c r="L63" s="64"/>
      <c r="M63" s="35">
        <v>8.0</v>
      </c>
      <c r="N63" s="35"/>
      <c r="O63" s="35">
        <v>8.0</v>
      </c>
      <c r="P63" s="35">
        <v>7.5</v>
      </c>
      <c r="Q63" s="35">
        <v>10.0</v>
      </c>
      <c r="R63" s="35">
        <v>9.0</v>
      </c>
      <c r="S63" s="35">
        <v>9.0</v>
      </c>
      <c r="T63" s="35">
        <v>6.0</v>
      </c>
      <c r="U63" s="35">
        <v>9.0</v>
      </c>
      <c r="V63" s="35">
        <v>10.0</v>
      </c>
      <c r="W63" s="35">
        <v>9.0</v>
      </c>
      <c r="X63" s="36">
        <v>3.0</v>
      </c>
      <c r="Y63" s="37">
        <f t="shared" si="8"/>
        <v>13</v>
      </c>
      <c r="Z63" s="52">
        <f t="shared" si="2"/>
        <v>12.8</v>
      </c>
      <c r="AA63" s="48">
        <v>5.0</v>
      </c>
      <c r="AB63" s="48">
        <f>14+11+13+13+13</f>
        <v>64</v>
      </c>
      <c r="AC63" s="50">
        <f t="shared" si="3"/>
        <v>103.5</v>
      </c>
      <c r="AD63" s="53"/>
      <c r="AE63" s="54">
        <f t="shared" si="4"/>
        <v>103.5</v>
      </c>
      <c r="AF63" s="44">
        <f t="shared" si="5"/>
        <v>98.81817368</v>
      </c>
      <c r="AG63" s="45"/>
      <c r="AH63" s="46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</row>
    <row r="64" ht="12.75" customHeight="1">
      <c r="A64" s="31">
        <v>64.0</v>
      </c>
      <c r="B64" s="31">
        <v>61.0</v>
      </c>
      <c r="C64" s="32">
        <v>28.0</v>
      </c>
      <c r="D64" s="33" t="s">
        <v>82</v>
      </c>
      <c r="E64" s="34"/>
      <c r="F64" s="35">
        <v>8.0</v>
      </c>
      <c r="G64" s="35">
        <v>10.0</v>
      </c>
      <c r="H64" s="35">
        <v>8.0</v>
      </c>
      <c r="I64" s="35">
        <v>8.0</v>
      </c>
      <c r="J64" s="35">
        <v>9.0</v>
      </c>
      <c r="K64" s="35"/>
      <c r="L64" s="35"/>
      <c r="M64" s="35"/>
      <c r="N64" s="35"/>
      <c r="O64" s="35"/>
      <c r="P64" s="35"/>
      <c r="Q64" s="35"/>
      <c r="R64" s="35"/>
      <c r="S64" s="35"/>
      <c r="T64" s="35">
        <v>9.0</v>
      </c>
      <c r="U64" s="35">
        <v>8.0</v>
      </c>
      <c r="V64" s="35">
        <v>9.0</v>
      </c>
      <c r="W64" s="35">
        <v>9.0</v>
      </c>
      <c r="X64" s="36">
        <v>10.0</v>
      </c>
      <c r="Y64" s="37">
        <f t="shared" si="8"/>
        <v>10</v>
      </c>
      <c r="Z64" s="38">
        <f t="shared" si="2"/>
        <v>12.8</v>
      </c>
      <c r="AA64" s="48">
        <v>5.0</v>
      </c>
      <c r="AB64" s="49">
        <f>12+12+13+14+13</f>
        <v>64</v>
      </c>
      <c r="AC64" s="50">
        <f t="shared" si="3"/>
        <v>88</v>
      </c>
      <c r="AD64" s="42">
        <v>15.0</v>
      </c>
      <c r="AE64" s="43">
        <f t="shared" si="4"/>
        <v>103</v>
      </c>
      <c r="AF64" s="44">
        <f t="shared" si="5"/>
        <v>98.3407912</v>
      </c>
      <c r="AG64" s="45"/>
      <c r="AH64" s="46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</row>
    <row r="65" ht="12.75" customHeight="1">
      <c r="A65" s="47">
        <v>52.0</v>
      </c>
      <c r="B65" s="47">
        <v>62.0</v>
      </c>
      <c r="C65" s="32">
        <v>41.0</v>
      </c>
      <c r="D65" s="33" t="s">
        <v>83</v>
      </c>
      <c r="E65" s="34"/>
      <c r="F65" s="35"/>
      <c r="G65" s="35"/>
      <c r="H65" s="35"/>
      <c r="I65" s="35"/>
      <c r="J65" s="35"/>
      <c r="K65" s="35"/>
      <c r="L65" s="35"/>
      <c r="M65" s="35">
        <v>8.0</v>
      </c>
      <c r="N65" s="35"/>
      <c r="O65" s="35">
        <v>9.0</v>
      </c>
      <c r="P65" s="35">
        <v>8.5</v>
      </c>
      <c r="Q65" s="35">
        <v>10.0</v>
      </c>
      <c r="R65" s="35">
        <v>7.0</v>
      </c>
      <c r="S65" s="35">
        <v>10.0</v>
      </c>
      <c r="T65" s="35">
        <v>8.0</v>
      </c>
      <c r="U65" s="35">
        <v>7.0</v>
      </c>
      <c r="V65" s="35">
        <v>10.0</v>
      </c>
      <c r="W65" s="35">
        <v>10.0</v>
      </c>
      <c r="X65" s="36"/>
      <c r="Y65" s="37">
        <f t="shared" si="8"/>
        <v>10</v>
      </c>
      <c r="Z65" s="52">
        <f t="shared" si="2"/>
        <v>10.66666667</v>
      </c>
      <c r="AA65" s="48">
        <v>6.0</v>
      </c>
      <c r="AB65" s="48">
        <f>10+11+11+11+12+9</f>
        <v>64</v>
      </c>
      <c r="AC65" s="50">
        <f t="shared" si="3"/>
        <v>87.5</v>
      </c>
      <c r="AD65" s="53">
        <v>15.0</v>
      </c>
      <c r="AE65" s="54">
        <f t="shared" si="4"/>
        <v>102.5</v>
      </c>
      <c r="AF65" s="44">
        <f t="shared" si="5"/>
        <v>117.4360905</v>
      </c>
      <c r="AG65" s="55"/>
      <c r="AH65" s="46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</row>
    <row r="66" ht="12.75" customHeight="1">
      <c r="A66" s="47">
        <v>60.0</v>
      </c>
      <c r="B66" s="47">
        <v>63.0</v>
      </c>
      <c r="C66" s="32">
        <v>147.0</v>
      </c>
      <c r="D66" s="33" t="s">
        <v>84</v>
      </c>
      <c r="E66" s="34"/>
      <c r="F66" s="35"/>
      <c r="G66" s="35"/>
      <c r="H66" s="35"/>
      <c r="I66" s="35"/>
      <c r="J66" s="35"/>
      <c r="K66" s="35">
        <v>10.0</v>
      </c>
      <c r="L66" s="35"/>
      <c r="M66" s="35">
        <v>9.0</v>
      </c>
      <c r="N66" s="35"/>
      <c r="O66" s="35">
        <v>9.0</v>
      </c>
      <c r="P66" s="35">
        <v>9.5</v>
      </c>
      <c r="Q66" s="35">
        <v>10.0</v>
      </c>
      <c r="R66" s="35">
        <v>10.0</v>
      </c>
      <c r="S66" s="35">
        <v>10.0</v>
      </c>
      <c r="T66" s="35">
        <v>10.0</v>
      </c>
      <c r="U66" s="35"/>
      <c r="V66" s="35"/>
      <c r="W66" s="35">
        <v>10.0</v>
      </c>
      <c r="X66" s="36"/>
      <c r="Y66" s="37">
        <f t="shared" si="8"/>
        <v>9</v>
      </c>
      <c r="Z66" s="52">
        <f t="shared" si="2"/>
        <v>12.42857143</v>
      </c>
      <c r="AA66" s="48">
        <v>7.0</v>
      </c>
      <c r="AB66" s="49">
        <f>12+13+11+10+13+16+12</f>
        <v>87</v>
      </c>
      <c r="AC66" s="50">
        <f t="shared" si="3"/>
        <v>87.5</v>
      </c>
      <c r="AD66" s="53">
        <v>15.0</v>
      </c>
      <c r="AE66" s="54">
        <f t="shared" si="4"/>
        <v>102.5</v>
      </c>
      <c r="AF66" s="44">
        <f t="shared" si="5"/>
        <v>100.7880623</v>
      </c>
      <c r="AG66" s="55"/>
      <c r="AH66" s="46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</row>
    <row r="67" ht="12.75" customHeight="1">
      <c r="A67" s="31">
        <v>39.0</v>
      </c>
      <c r="B67" s="47">
        <v>64.0</v>
      </c>
      <c r="C67" s="32">
        <v>68.0</v>
      </c>
      <c r="D67" s="33" t="s">
        <v>72</v>
      </c>
      <c r="E67" s="34"/>
      <c r="F67" s="35"/>
      <c r="G67" s="35"/>
      <c r="H67" s="35"/>
      <c r="I67" s="35"/>
      <c r="J67" s="35"/>
      <c r="K67" s="35"/>
      <c r="L67" s="35"/>
      <c r="M67" s="35">
        <v>8.0</v>
      </c>
      <c r="N67" s="35"/>
      <c r="O67" s="35">
        <v>10.0</v>
      </c>
      <c r="P67" s="35">
        <v>10.0</v>
      </c>
      <c r="Q67" s="35">
        <v>10.0</v>
      </c>
      <c r="R67" s="35">
        <v>8.0</v>
      </c>
      <c r="S67" s="35">
        <v>10.0</v>
      </c>
      <c r="T67" s="35">
        <v>9.0</v>
      </c>
      <c r="U67" s="35">
        <v>9.0</v>
      </c>
      <c r="V67" s="35"/>
      <c r="W67" s="35">
        <v>10.0</v>
      </c>
      <c r="X67" s="36"/>
      <c r="Y67" s="37">
        <f t="shared" si="8"/>
        <v>9</v>
      </c>
      <c r="Z67" s="52">
        <f t="shared" si="2"/>
        <v>9</v>
      </c>
      <c r="AA67" s="48">
        <v>4.0</v>
      </c>
      <c r="AB67" s="48">
        <f>9+9+10+8</f>
        <v>36</v>
      </c>
      <c r="AC67" s="50">
        <f t="shared" si="3"/>
        <v>84</v>
      </c>
      <c r="AD67" s="53">
        <v>15.0</v>
      </c>
      <c r="AE67" s="54">
        <f t="shared" si="4"/>
        <v>99</v>
      </c>
      <c r="AF67" s="44">
        <f t="shared" si="5"/>
        <v>134.4309068</v>
      </c>
      <c r="AG67" s="45" t="s">
        <v>26</v>
      </c>
      <c r="AH67" s="46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</row>
    <row r="68" ht="12.75" customHeight="1">
      <c r="A68" s="47">
        <v>76.0</v>
      </c>
      <c r="B68" s="31">
        <v>65.0</v>
      </c>
      <c r="C68" s="32">
        <v>148.0</v>
      </c>
      <c r="D68" s="33" t="s">
        <v>85</v>
      </c>
      <c r="E68" s="34"/>
      <c r="F68" s="35"/>
      <c r="G68" s="35"/>
      <c r="H68" s="35"/>
      <c r="I68" s="35"/>
      <c r="J68" s="35"/>
      <c r="K68" s="35">
        <v>10.0</v>
      </c>
      <c r="L68" s="35"/>
      <c r="M68" s="35">
        <v>7.0</v>
      </c>
      <c r="N68" s="35"/>
      <c r="O68" s="35">
        <v>9.0</v>
      </c>
      <c r="P68" s="35">
        <v>9.5</v>
      </c>
      <c r="Q68" s="35">
        <v>10.0</v>
      </c>
      <c r="R68" s="35">
        <v>10.0</v>
      </c>
      <c r="S68" s="35">
        <v>10.0</v>
      </c>
      <c r="T68" s="35">
        <v>10.0</v>
      </c>
      <c r="U68" s="35"/>
      <c r="V68" s="35"/>
      <c r="W68" s="35">
        <v>8.0</v>
      </c>
      <c r="X68" s="36"/>
      <c r="Y68" s="37">
        <f t="shared" si="8"/>
        <v>9</v>
      </c>
      <c r="Z68" s="52">
        <f t="shared" si="2"/>
        <v>14.71428571</v>
      </c>
      <c r="AA68" s="48">
        <v>7.0</v>
      </c>
      <c r="AB68" s="49">
        <f>13+14+15+15+15+15+16</f>
        <v>103</v>
      </c>
      <c r="AC68" s="50">
        <f t="shared" si="3"/>
        <v>83.5</v>
      </c>
      <c r="AD68" s="53">
        <v>15.0</v>
      </c>
      <c r="AE68" s="54">
        <f t="shared" si="4"/>
        <v>98.5</v>
      </c>
      <c r="AF68" s="44">
        <f t="shared" si="5"/>
        <v>81.80945299</v>
      </c>
      <c r="AG68" s="55"/>
      <c r="AH68" s="46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</row>
    <row r="69" ht="12.75" customHeight="1">
      <c r="A69" s="47">
        <v>49.0</v>
      </c>
      <c r="B69" s="31">
        <v>66.0</v>
      </c>
      <c r="C69" s="32">
        <v>76.0</v>
      </c>
      <c r="D69" s="33" t="s">
        <v>86</v>
      </c>
      <c r="E69" s="34"/>
      <c r="F69" s="35"/>
      <c r="G69" s="35"/>
      <c r="H69" s="35"/>
      <c r="I69" s="35"/>
      <c r="J69" s="35"/>
      <c r="K69" s="35">
        <v>9.0</v>
      </c>
      <c r="L69" s="35"/>
      <c r="M69" s="35">
        <v>7.0</v>
      </c>
      <c r="N69" s="35"/>
      <c r="O69" s="35">
        <v>10.0</v>
      </c>
      <c r="P69" s="35">
        <v>9.0</v>
      </c>
      <c r="Q69" s="35">
        <v>10.0</v>
      </c>
      <c r="R69" s="35">
        <v>9.0</v>
      </c>
      <c r="S69" s="35">
        <v>9.0</v>
      </c>
      <c r="T69" s="35">
        <v>8.0</v>
      </c>
      <c r="U69" s="35">
        <v>8.0</v>
      </c>
      <c r="V69" s="35"/>
      <c r="W69" s="35">
        <v>10.0</v>
      </c>
      <c r="X69" s="36">
        <v>8.0</v>
      </c>
      <c r="Y69" s="37">
        <f t="shared" si="8"/>
        <v>11</v>
      </c>
      <c r="Z69" s="38">
        <f t="shared" si="2"/>
        <v>10</v>
      </c>
      <c r="AA69" s="48">
        <v>4.0</v>
      </c>
      <c r="AB69" s="49">
        <f>9+8+11+12</f>
        <v>40</v>
      </c>
      <c r="AC69" s="50">
        <f t="shared" si="3"/>
        <v>97</v>
      </c>
      <c r="AD69" s="42"/>
      <c r="AE69" s="43">
        <f t="shared" si="4"/>
        <v>97</v>
      </c>
      <c r="AF69" s="44">
        <f t="shared" si="5"/>
        <v>118.5436178</v>
      </c>
      <c r="AG69" s="45"/>
      <c r="AH69" s="46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</row>
    <row r="70" ht="12.75" customHeight="1">
      <c r="A70" s="31">
        <v>69.0</v>
      </c>
      <c r="B70" s="47">
        <v>67.0</v>
      </c>
      <c r="C70" s="32">
        <v>24.0</v>
      </c>
      <c r="D70" s="33" t="s">
        <v>87</v>
      </c>
      <c r="E70" s="34"/>
      <c r="F70" s="35"/>
      <c r="G70" s="35"/>
      <c r="H70" s="35"/>
      <c r="I70" s="35"/>
      <c r="J70" s="35"/>
      <c r="K70" s="35"/>
      <c r="L70" s="35"/>
      <c r="M70" s="35">
        <v>9.0</v>
      </c>
      <c r="N70" s="35"/>
      <c r="O70" s="35">
        <v>9.0</v>
      </c>
      <c r="P70" s="35">
        <v>9.5</v>
      </c>
      <c r="Q70" s="35">
        <v>10.0</v>
      </c>
      <c r="R70" s="35">
        <v>8.0</v>
      </c>
      <c r="S70" s="35">
        <v>10.0</v>
      </c>
      <c r="T70" s="35">
        <v>10.0</v>
      </c>
      <c r="U70" s="35">
        <v>8.0</v>
      </c>
      <c r="V70" s="35">
        <v>10.0</v>
      </c>
      <c r="W70" s="35">
        <v>8.0</v>
      </c>
      <c r="X70" s="36">
        <v>4.0</v>
      </c>
      <c r="Y70" s="37">
        <f t="shared" si="8"/>
        <v>11</v>
      </c>
      <c r="Z70" s="52">
        <f t="shared" si="2"/>
        <v>13.11111111</v>
      </c>
      <c r="AA70" s="48">
        <v>9.0</v>
      </c>
      <c r="AB70" s="49">
        <f>14+12+15+14+14+12+12+12+13</f>
        <v>118</v>
      </c>
      <c r="AC70" s="50">
        <f t="shared" si="3"/>
        <v>95.5</v>
      </c>
      <c r="AD70" s="53"/>
      <c r="AE70" s="54">
        <f t="shared" si="4"/>
        <v>95.5</v>
      </c>
      <c r="AF70" s="44">
        <f t="shared" si="5"/>
        <v>89.01645947</v>
      </c>
      <c r="AG70" s="45"/>
      <c r="AH70" s="46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</row>
    <row r="71" ht="12.75" customHeight="1">
      <c r="A71" s="47">
        <v>70.0</v>
      </c>
      <c r="B71" s="47">
        <v>68.0</v>
      </c>
      <c r="C71" s="32">
        <v>25.0</v>
      </c>
      <c r="D71" s="68" t="s">
        <v>87</v>
      </c>
      <c r="E71" s="34"/>
      <c r="F71" s="64"/>
      <c r="G71" s="35"/>
      <c r="H71" s="35"/>
      <c r="I71" s="35"/>
      <c r="J71" s="35"/>
      <c r="K71" s="35"/>
      <c r="L71" s="35"/>
      <c r="M71" s="35">
        <v>9.0</v>
      </c>
      <c r="N71" s="35"/>
      <c r="O71" s="35">
        <v>9.0</v>
      </c>
      <c r="P71" s="35">
        <v>9.5</v>
      </c>
      <c r="Q71" s="35">
        <v>10.0</v>
      </c>
      <c r="R71" s="35">
        <v>8.0</v>
      </c>
      <c r="S71" s="35">
        <v>10.0</v>
      </c>
      <c r="T71" s="35">
        <v>10.0</v>
      </c>
      <c r="U71" s="35">
        <v>8.0</v>
      </c>
      <c r="V71" s="35">
        <v>10.0</v>
      </c>
      <c r="W71" s="35">
        <v>8.0</v>
      </c>
      <c r="X71" s="36">
        <v>4.0</v>
      </c>
      <c r="Y71" s="37">
        <f t="shared" si="8"/>
        <v>11</v>
      </c>
      <c r="Z71" s="38">
        <f t="shared" si="2"/>
        <v>13.11111111</v>
      </c>
      <c r="AA71" s="48">
        <v>9.0</v>
      </c>
      <c r="AB71" s="48">
        <v>118.0</v>
      </c>
      <c r="AC71" s="50">
        <f t="shared" si="3"/>
        <v>95.5</v>
      </c>
      <c r="AD71" s="42"/>
      <c r="AE71" s="43">
        <f t="shared" si="4"/>
        <v>95.5</v>
      </c>
      <c r="AF71" s="44">
        <f t="shared" si="5"/>
        <v>89.01645947</v>
      </c>
      <c r="AG71" s="45"/>
      <c r="AH71" s="46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</row>
    <row r="72" ht="12.75" customHeight="1">
      <c r="A72" s="47">
        <v>89.0</v>
      </c>
      <c r="B72" s="47">
        <v>69.0</v>
      </c>
      <c r="C72" s="32">
        <v>26.0</v>
      </c>
      <c r="D72" s="33" t="s">
        <v>88</v>
      </c>
      <c r="E72" s="34"/>
      <c r="F72" s="35"/>
      <c r="G72" s="35"/>
      <c r="H72" s="35"/>
      <c r="I72" s="35"/>
      <c r="J72" s="35"/>
      <c r="K72" s="35"/>
      <c r="L72" s="35"/>
      <c r="M72" s="35">
        <v>9.0</v>
      </c>
      <c r="N72" s="35"/>
      <c r="O72" s="35">
        <v>9.0</v>
      </c>
      <c r="P72" s="35">
        <v>8.5</v>
      </c>
      <c r="Q72" s="35">
        <v>10.0</v>
      </c>
      <c r="R72" s="35">
        <v>8.0</v>
      </c>
      <c r="S72" s="35">
        <v>10.0</v>
      </c>
      <c r="T72" s="35">
        <v>10.0</v>
      </c>
      <c r="U72" s="35">
        <v>8.0</v>
      </c>
      <c r="V72" s="35">
        <v>9.0</v>
      </c>
      <c r="W72" s="35">
        <v>8.0</v>
      </c>
      <c r="X72" s="36">
        <v>4.0</v>
      </c>
      <c r="Y72" s="37">
        <f t="shared" si="8"/>
        <v>11</v>
      </c>
      <c r="Z72" s="38">
        <f t="shared" si="2"/>
        <v>17.33333333</v>
      </c>
      <c r="AA72" s="48">
        <v>3.0</v>
      </c>
      <c r="AB72" s="49">
        <f>17+17+18</f>
        <v>52</v>
      </c>
      <c r="AC72" s="50">
        <f t="shared" si="3"/>
        <v>93.5</v>
      </c>
      <c r="AD72" s="42"/>
      <c r="AE72" s="43">
        <f t="shared" si="4"/>
        <v>93.5</v>
      </c>
      <c r="AF72" s="44">
        <f t="shared" si="5"/>
        <v>65.92284853</v>
      </c>
      <c r="AG72" s="45"/>
      <c r="AH72" s="46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</row>
    <row r="73" ht="12.75" customHeight="1">
      <c r="A73" s="31">
        <v>80.0</v>
      </c>
      <c r="B73" s="31">
        <v>70.0</v>
      </c>
      <c r="C73" s="32">
        <v>71.0</v>
      </c>
      <c r="D73" s="33" t="s">
        <v>89</v>
      </c>
      <c r="E73" s="34"/>
      <c r="F73" s="35"/>
      <c r="G73" s="35">
        <v>10.0</v>
      </c>
      <c r="H73" s="35">
        <v>10.0</v>
      </c>
      <c r="I73" s="35">
        <v>9.0</v>
      </c>
      <c r="J73" s="35">
        <v>10.0</v>
      </c>
      <c r="K73" s="35">
        <v>10.0</v>
      </c>
      <c r="L73" s="35"/>
      <c r="M73" s="35">
        <v>6.5</v>
      </c>
      <c r="N73" s="35"/>
      <c r="O73" s="35">
        <v>10.0</v>
      </c>
      <c r="P73" s="35"/>
      <c r="Q73" s="35"/>
      <c r="R73" s="35"/>
      <c r="S73" s="35"/>
      <c r="T73" s="35"/>
      <c r="U73" s="35"/>
      <c r="V73" s="35"/>
      <c r="W73" s="35">
        <v>10.0</v>
      </c>
      <c r="X73" s="36"/>
      <c r="Y73" s="37">
        <f t="shared" si="8"/>
        <v>8</v>
      </c>
      <c r="Z73" s="38">
        <f t="shared" si="2"/>
        <v>14</v>
      </c>
      <c r="AA73" s="48">
        <v>3.0</v>
      </c>
      <c r="AB73" s="49">
        <f>14+14+14</f>
        <v>42</v>
      </c>
      <c r="AC73" s="50">
        <f t="shared" si="3"/>
        <v>75.5</v>
      </c>
      <c r="AD73" s="42">
        <v>15.0</v>
      </c>
      <c r="AE73" s="43">
        <f t="shared" si="4"/>
        <v>90.5</v>
      </c>
      <c r="AF73" s="44">
        <f t="shared" si="5"/>
        <v>78.99998094</v>
      </c>
      <c r="AG73" s="45" t="s">
        <v>90</v>
      </c>
      <c r="AH73" s="46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</row>
    <row r="74" ht="12.75" customHeight="1">
      <c r="A74" s="47">
        <v>88.0</v>
      </c>
      <c r="B74" s="31">
        <v>71.0</v>
      </c>
      <c r="C74" s="32">
        <v>70.0</v>
      </c>
      <c r="D74" s="33" t="s">
        <v>91</v>
      </c>
      <c r="E74" s="34"/>
      <c r="F74" s="35"/>
      <c r="G74" s="35">
        <v>10.0</v>
      </c>
      <c r="H74" s="35">
        <v>9.0</v>
      </c>
      <c r="I74" s="35">
        <v>9.0</v>
      </c>
      <c r="J74" s="35">
        <v>10.0</v>
      </c>
      <c r="K74" s="35">
        <v>10.0</v>
      </c>
      <c r="L74" s="35"/>
      <c r="M74" s="35">
        <v>6.5</v>
      </c>
      <c r="N74" s="35"/>
      <c r="O74" s="35">
        <v>10.0</v>
      </c>
      <c r="P74" s="35"/>
      <c r="Q74" s="35"/>
      <c r="R74" s="35"/>
      <c r="S74" s="35"/>
      <c r="T74" s="35"/>
      <c r="U74" s="35"/>
      <c r="V74" s="35"/>
      <c r="W74" s="35">
        <v>10.0</v>
      </c>
      <c r="X74" s="36"/>
      <c r="Y74" s="37">
        <f t="shared" si="8"/>
        <v>8</v>
      </c>
      <c r="Z74" s="52">
        <f t="shared" si="2"/>
        <v>16.5</v>
      </c>
      <c r="AA74" s="48">
        <v>6.0</v>
      </c>
      <c r="AB74" s="49">
        <f>16+17+16+16+17+17</f>
        <v>99</v>
      </c>
      <c r="AC74" s="50">
        <f t="shared" si="3"/>
        <v>74.5</v>
      </c>
      <c r="AD74" s="53">
        <v>15.0</v>
      </c>
      <c r="AE74" s="54">
        <f t="shared" si="4"/>
        <v>89.5</v>
      </c>
      <c r="AF74" s="44">
        <f t="shared" si="5"/>
        <v>66.28962071</v>
      </c>
      <c r="AG74" s="45" t="s">
        <v>90</v>
      </c>
      <c r="AH74" s="46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</row>
    <row r="75" ht="12.75" customHeight="1">
      <c r="A75" s="47">
        <v>59.0</v>
      </c>
      <c r="B75" s="47">
        <v>72.0</v>
      </c>
      <c r="C75" s="32">
        <v>63.0</v>
      </c>
      <c r="D75" s="33" t="s">
        <v>92</v>
      </c>
      <c r="E75" s="34"/>
      <c r="F75" s="35"/>
      <c r="G75" s="35"/>
      <c r="H75" s="35"/>
      <c r="I75" s="35"/>
      <c r="J75" s="66"/>
      <c r="K75" s="35"/>
      <c r="L75" s="35"/>
      <c r="M75" s="35">
        <v>10.0</v>
      </c>
      <c r="N75" s="35"/>
      <c r="O75" s="35"/>
      <c r="P75" s="35">
        <v>10.0</v>
      </c>
      <c r="Q75" s="35">
        <v>5.0</v>
      </c>
      <c r="R75" s="35">
        <v>10.0</v>
      </c>
      <c r="S75" s="35"/>
      <c r="T75" s="35"/>
      <c r="U75" s="35">
        <v>8.0</v>
      </c>
      <c r="V75" s="35">
        <v>10.0</v>
      </c>
      <c r="W75" s="35">
        <v>10.0</v>
      </c>
      <c r="X75" s="36">
        <v>10.0</v>
      </c>
      <c r="Y75" s="37">
        <f t="shared" si="8"/>
        <v>8</v>
      </c>
      <c r="Z75" s="38">
        <f t="shared" si="2"/>
        <v>10.25</v>
      </c>
      <c r="AA75" s="48">
        <v>4.0</v>
      </c>
      <c r="AB75" s="48">
        <v>41.0</v>
      </c>
      <c r="AC75" s="50">
        <f t="shared" si="3"/>
        <v>73</v>
      </c>
      <c r="AD75" s="42">
        <v>15.0</v>
      </c>
      <c r="AE75" s="43">
        <f t="shared" si="4"/>
        <v>88</v>
      </c>
      <c r="AF75" s="44">
        <f t="shared" si="5"/>
        <v>104.9216834</v>
      </c>
      <c r="AG75" s="45"/>
      <c r="AH75" s="46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</row>
    <row r="76" ht="12.75" customHeight="1">
      <c r="A76" s="31">
        <v>75.0</v>
      </c>
      <c r="B76" s="47">
        <v>73.0</v>
      </c>
      <c r="C76" s="32">
        <v>27.0</v>
      </c>
      <c r="D76" s="33" t="s">
        <v>93</v>
      </c>
      <c r="E76" s="34"/>
      <c r="F76" s="35">
        <v>10.0</v>
      </c>
      <c r="G76" s="35">
        <v>9.0</v>
      </c>
      <c r="H76" s="35">
        <v>9.0</v>
      </c>
      <c r="I76" s="35">
        <v>9.0</v>
      </c>
      <c r="J76" s="35">
        <v>9.0</v>
      </c>
      <c r="K76" s="35">
        <v>10.0</v>
      </c>
      <c r="L76" s="35"/>
      <c r="M76" s="35">
        <v>10.0</v>
      </c>
      <c r="N76" s="35"/>
      <c r="O76" s="35"/>
      <c r="P76" s="35"/>
      <c r="Q76" s="35"/>
      <c r="R76" s="35"/>
      <c r="S76" s="35"/>
      <c r="T76" s="35"/>
      <c r="U76" s="35"/>
      <c r="V76" s="35"/>
      <c r="W76" s="35">
        <v>10.0</v>
      </c>
      <c r="X76" s="36">
        <v>10.0</v>
      </c>
      <c r="Y76" s="37">
        <f t="shared" si="8"/>
        <v>9</v>
      </c>
      <c r="Z76" s="38">
        <f t="shared" si="2"/>
        <v>12.83333333</v>
      </c>
      <c r="AA76" s="48">
        <v>6.0</v>
      </c>
      <c r="AB76" s="49">
        <f>14+14+13+12+12+12</f>
        <v>77</v>
      </c>
      <c r="AC76" s="50">
        <f t="shared" si="3"/>
        <v>86</v>
      </c>
      <c r="AD76" s="42"/>
      <c r="AE76" s="43">
        <f t="shared" si="4"/>
        <v>86</v>
      </c>
      <c r="AF76" s="44">
        <f t="shared" si="5"/>
        <v>81.89651465</v>
      </c>
      <c r="AG76" s="45"/>
      <c r="AH76" s="46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</row>
    <row r="77" ht="12.75" customHeight="1">
      <c r="A77" s="47">
        <v>51.0</v>
      </c>
      <c r="B77" s="47">
        <v>74.0</v>
      </c>
      <c r="C77" s="32">
        <v>9.0</v>
      </c>
      <c r="D77" s="33" t="s">
        <v>94</v>
      </c>
      <c r="E77" s="34"/>
      <c r="F77" s="35"/>
      <c r="G77" s="35"/>
      <c r="H77" s="35"/>
      <c r="I77" s="35"/>
      <c r="J77" s="35"/>
      <c r="K77" s="35"/>
      <c r="L77" s="35"/>
      <c r="M77" s="35">
        <v>10.0</v>
      </c>
      <c r="N77" s="35"/>
      <c r="O77" s="35">
        <v>9.0</v>
      </c>
      <c r="P77" s="35">
        <v>8.5</v>
      </c>
      <c r="Q77" s="35">
        <v>10.0</v>
      </c>
      <c r="R77" s="35">
        <v>10.0</v>
      </c>
      <c r="S77" s="35"/>
      <c r="T77" s="35"/>
      <c r="U77" s="35"/>
      <c r="V77" s="35"/>
      <c r="W77" s="35">
        <v>10.0</v>
      </c>
      <c r="X77" s="36">
        <v>10.0</v>
      </c>
      <c r="Y77" s="37">
        <f t="shared" si="8"/>
        <v>7</v>
      </c>
      <c r="Z77" s="38">
        <f t="shared" si="2"/>
        <v>8.571428571</v>
      </c>
      <c r="AA77" s="48">
        <v>7.0</v>
      </c>
      <c r="AB77" s="48">
        <f>9+8+10+9+8+8+8</f>
        <v>60</v>
      </c>
      <c r="AC77" s="50">
        <f t="shared" si="3"/>
        <v>67.5</v>
      </c>
      <c r="AD77" s="42">
        <v>15.0</v>
      </c>
      <c r="AE77" s="43">
        <f t="shared" si="4"/>
        <v>82.5</v>
      </c>
      <c r="AF77" s="44">
        <f t="shared" si="5"/>
        <v>117.6270434</v>
      </c>
      <c r="AG77" s="55"/>
      <c r="AH77" s="46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</row>
    <row r="78" ht="12.75" customHeight="1">
      <c r="A78" s="47">
        <v>72.0</v>
      </c>
      <c r="B78" s="31">
        <v>75.0</v>
      </c>
      <c r="C78" s="32">
        <v>112.0</v>
      </c>
      <c r="D78" s="33" t="s">
        <v>95</v>
      </c>
      <c r="E78" s="34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64"/>
      <c r="R78" s="35">
        <v>8.0</v>
      </c>
      <c r="S78" s="35">
        <v>9.0</v>
      </c>
      <c r="T78" s="35">
        <v>8.0</v>
      </c>
      <c r="U78" s="35">
        <v>7.0</v>
      </c>
      <c r="V78" s="35">
        <v>10.0</v>
      </c>
      <c r="W78" s="35">
        <v>10.0</v>
      </c>
      <c r="X78" s="36">
        <v>10.0</v>
      </c>
      <c r="Y78" s="37">
        <f t="shared" si="8"/>
        <v>7</v>
      </c>
      <c r="Z78" s="52">
        <f t="shared" si="2"/>
        <v>11</v>
      </c>
      <c r="AA78" s="48">
        <v>4.0</v>
      </c>
      <c r="AB78" s="48">
        <v>44.0</v>
      </c>
      <c r="AC78" s="50">
        <f t="shared" si="3"/>
        <v>62</v>
      </c>
      <c r="AD78" s="53">
        <v>15.0</v>
      </c>
      <c r="AE78" s="54">
        <f t="shared" si="4"/>
        <v>77</v>
      </c>
      <c r="AF78" s="44">
        <f t="shared" si="5"/>
        <v>85.54694069</v>
      </c>
      <c r="AG78" s="45"/>
      <c r="AH78" s="46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</row>
    <row r="79" ht="12.75" customHeight="1">
      <c r="A79" s="31">
        <v>77.0</v>
      </c>
      <c r="B79" s="31">
        <v>76.0</v>
      </c>
      <c r="C79" s="32">
        <v>91.0</v>
      </c>
      <c r="D79" s="33" t="s">
        <v>96</v>
      </c>
      <c r="E79" s="34"/>
      <c r="F79" s="35"/>
      <c r="G79" s="35"/>
      <c r="H79" s="35"/>
      <c r="I79" s="35"/>
      <c r="J79" s="35"/>
      <c r="K79" s="35">
        <v>10.0</v>
      </c>
      <c r="L79" s="35"/>
      <c r="M79" s="35">
        <v>7.0</v>
      </c>
      <c r="N79" s="35"/>
      <c r="O79" s="35">
        <v>10.0</v>
      </c>
      <c r="P79" s="35"/>
      <c r="Q79" s="64"/>
      <c r="R79" s="35">
        <v>7.0</v>
      </c>
      <c r="S79" s="35"/>
      <c r="T79" s="35"/>
      <c r="U79" s="35"/>
      <c r="V79" s="35">
        <v>9.0</v>
      </c>
      <c r="W79" s="35">
        <v>10.0</v>
      </c>
      <c r="X79" s="36">
        <v>8.0</v>
      </c>
      <c r="Y79" s="37">
        <f t="shared" si="8"/>
        <v>7</v>
      </c>
      <c r="Z79" s="38">
        <f t="shared" si="2"/>
        <v>11.5</v>
      </c>
      <c r="AA79" s="48">
        <v>6.0</v>
      </c>
      <c r="AB79" s="49">
        <f>11+12+12+11+11+12</f>
        <v>69</v>
      </c>
      <c r="AC79" s="50">
        <f t="shared" si="3"/>
        <v>61</v>
      </c>
      <c r="AD79" s="42">
        <v>15.0</v>
      </c>
      <c r="AE79" s="43">
        <f t="shared" si="4"/>
        <v>76</v>
      </c>
      <c r="AF79" s="44">
        <f t="shared" si="5"/>
        <v>80.76481357</v>
      </c>
      <c r="AG79" s="45"/>
      <c r="AH79" s="46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</row>
    <row r="80" ht="12.75" customHeight="1">
      <c r="A80" s="47">
        <v>81.0</v>
      </c>
      <c r="B80" s="47">
        <v>77.0</v>
      </c>
      <c r="C80" s="32">
        <v>140.0</v>
      </c>
      <c r="D80" s="33" t="s">
        <v>97</v>
      </c>
      <c r="E80" s="34"/>
      <c r="F80" s="35">
        <v>9.0</v>
      </c>
      <c r="G80" s="35">
        <v>9.0</v>
      </c>
      <c r="H80" s="35">
        <v>9.5</v>
      </c>
      <c r="I80" s="35">
        <v>8.0</v>
      </c>
      <c r="J80" s="35">
        <v>8.0</v>
      </c>
      <c r="K80" s="35"/>
      <c r="L80" s="35"/>
      <c r="M80" s="35"/>
      <c r="N80" s="35"/>
      <c r="O80" s="35"/>
      <c r="P80" s="35"/>
      <c r="Q80" s="64"/>
      <c r="R80" s="35"/>
      <c r="S80" s="35"/>
      <c r="T80" s="35"/>
      <c r="U80" s="35"/>
      <c r="V80" s="35"/>
      <c r="W80" s="35">
        <v>8.0</v>
      </c>
      <c r="X80" s="36">
        <v>8.0</v>
      </c>
      <c r="Y80" s="37">
        <f t="shared" si="8"/>
        <v>7</v>
      </c>
      <c r="Z80" s="38">
        <f t="shared" si="2"/>
        <v>11.75</v>
      </c>
      <c r="AA80" s="48">
        <v>4.0</v>
      </c>
      <c r="AB80" s="49">
        <f>11+13+11+12</f>
        <v>47</v>
      </c>
      <c r="AC80" s="50">
        <f t="shared" si="3"/>
        <v>59.5</v>
      </c>
      <c r="AD80" s="42">
        <v>15.0</v>
      </c>
      <c r="AE80" s="43">
        <f t="shared" si="4"/>
        <v>74.5</v>
      </c>
      <c r="AF80" s="44">
        <f t="shared" si="5"/>
        <v>77.4862867</v>
      </c>
      <c r="AG80" s="45" t="s">
        <v>31</v>
      </c>
      <c r="AH80" s="46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</row>
    <row r="81" ht="12.75" customHeight="1">
      <c r="A81" s="47">
        <v>87.0</v>
      </c>
      <c r="B81" s="47">
        <v>78.0</v>
      </c>
      <c r="C81" s="32">
        <v>88.0</v>
      </c>
      <c r="D81" s="33" t="s">
        <v>98</v>
      </c>
      <c r="E81" s="34"/>
      <c r="F81" s="35"/>
      <c r="G81" s="35"/>
      <c r="H81" s="35"/>
      <c r="I81" s="35"/>
      <c r="J81" s="35"/>
      <c r="K81" s="35">
        <v>10.0</v>
      </c>
      <c r="L81" s="35"/>
      <c r="M81" s="35">
        <v>10.0</v>
      </c>
      <c r="N81" s="35"/>
      <c r="O81" s="35">
        <v>10.0</v>
      </c>
      <c r="P81" s="35">
        <v>10.0</v>
      </c>
      <c r="Q81" s="35">
        <v>10.0</v>
      </c>
      <c r="R81" s="35"/>
      <c r="S81" s="35"/>
      <c r="T81" s="35"/>
      <c r="U81" s="35"/>
      <c r="V81" s="35">
        <v>9.0</v>
      </c>
      <c r="W81" s="64"/>
      <c r="X81" s="69"/>
      <c r="Y81" s="37">
        <f t="shared" si="8"/>
        <v>6</v>
      </c>
      <c r="Z81" s="38">
        <f t="shared" si="2"/>
        <v>13.57142857</v>
      </c>
      <c r="AA81" s="48">
        <v>7.0</v>
      </c>
      <c r="AB81" s="48">
        <f>13+13+14+14+15+13+13</f>
        <v>95</v>
      </c>
      <c r="AC81" s="50">
        <f t="shared" si="3"/>
        <v>59</v>
      </c>
      <c r="AD81" s="42">
        <v>15.0</v>
      </c>
      <c r="AE81" s="43">
        <f t="shared" si="4"/>
        <v>74</v>
      </c>
      <c r="AF81" s="44">
        <f t="shared" si="5"/>
        <v>66.63656433</v>
      </c>
      <c r="AG81" s="45"/>
      <c r="AH81" s="46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</row>
    <row r="82" ht="12.75" customHeight="1">
      <c r="A82" s="31">
        <v>82.0</v>
      </c>
      <c r="B82" s="47">
        <v>79.0</v>
      </c>
      <c r="C82" s="32">
        <v>111.0</v>
      </c>
      <c r="D82" s="33" t="s">
        <v>99</v>
      </c>
      <c r="E82" s="34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>
        <v>8.0</v>
      </c>
      <c r="S82" s="35">
        <v>9.0</v>
      </c>
      <c r="T82" s="35">
        <v>6.0</v>
      </c>
      <c r="U82" s="35">
        <v>9.0</v>
      </c>
      <c r="V82" s="35">
        <v>10.0</v>
      </c>
      <c r="W82" s="35">
        <v>10.0</v>
      </c>
      <c r="X82" s="36">
        <v>6.0</v>
      </c>
      <c r="Y82" s="37">
        <f t="shared" si="8"/>
        <v>7</v>
      </c>
      <c r="Z82" s="38">
        <f t="shared" si="2"/>
        <v>12.2</v>
      </c>
      <c r="AA82" s="48">
        <v>5.0</v>
      </c>
      <c r="AB82" s="49">
        <f>11+14+11+13+12</f>
        <v>61</v>
      </c>
      <c r="AC82" s="50">
        <f t="shared" si="3"/>
        <v>58</v>
      </c>
      <c r="AD82" s="42">
        <v>15.0</v>
      </c>
      <c r="AE82" s="43">
        <f t="shared" si="4"/>
        <v>73</v>
      </c>
      <c r="AF82" s="44">
        <f t="shared" si="5"/>
        <v>73.12560504</v>
      </c>
      <c r="AG82" s="45"/>
      <c r="AH82" s="46"/>
      <c r="AI82" s="3"/>
      <c r="AJ82" s="70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</row>
    <row r="83" ht="12.75" customHeight="1">
      <c r="A83" s="47">
        <v>91.0</v>
      </c>
      <c r="B83" s="31">
        <v>80.0</v>
      </c>
      <c r="C83" s="32">
        <v>75.0</v>
      </c>
      <c r="D83" s="33" t="s">
        <v>100</v>
      </c>
      <c r="E83" s="34"/>
      <c r="F83" s="35"/>
      <c r="G83" s="35"/>
      <c r="H83" s="35"/>
      <c r="I83" s="35"/>
      <c r="J83" s="35"/>
      <c r="K83" s="35">
        <v>10.0</v>
      </c>
      <c r="L83" s="35"/>
      <c r="M83" s="35">
        <v>8.0</v>
      </c>
      <c r="N83" s="35"/>
      <c r="O83" s="35"/>
      <c r="P83" s="35"/>
      <c r="Q83" s="35">
        <v>10.0</v>
      </c>
      <c r="R83" s="35">
        <v>8.0</v>
      </c>
      <c r="S83" s="35"/>
      <c r="T83" s="35">
        <v>9.0</v>
      </c>
      <c r="U83" s="35">
        <v>8.0</v>
      </c>
      <c r="V83" s="35"/>
      <c r="W83" s="35">
        <v>10.0</v>
      </c>
      <c r="X83" s="36">
        <v>10.0</v>
      </c>
      <c r="Y83" s="37">
        <f t="shared" si="8"/>
        <v>8</v>
      </c>
      <c r="Z83" s="52">
        <f t="shared" si="2"/>
        <v>14</v>
      </c>
      <c r="AA83" s="48">
        <v>3.0</v>
      </c>
      <c r="AB83" s="48">
        <v>42.0</v>
      </c>
      <c r="AC83" s="50">
        <f t="shared" si="3"/>
        <v>73</v>
      </c>
      <c r="AD83" s="53"/>
      <c r="AE83" s="54">
        <f t="shared" si="4"/>
        <v>73</v>
      </c>
      <c r="AF83" s="44">
        <f t="shared" si="5"/>
        <v>63.72374153</v>
      </c>
      <c r="AG83" s="45"/>
      <c r="AH83" s="46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</row>
    <row r="84" ht="12.75" customHeight="1">
      <c r="A84" s="47">
        <v>66.0</v>
      </c>
      <c r="B84" s="31">
        <v>81.0</v>
      </c>
      <c r="C84" s="32">
        <v>16.0</v>
      </c>
      <c r="D84" s="33" t="s">
        <v>101</v>
      </c>
      <c r="E84" s="34"/>
      <c r="F84" s="35"/>
      <c r="G84" s="35"/>
      <c r="H84" s="35"/>
      <c r="I84" s="35"/>
      <c r="J84" s="35"/>
      <c r="K84" s="35">
        <v>10.0</v>
      </c>
      <c r="L84" s="35"/>
      <c r="M84" s="35"/>
      <c r="N84" s="35"/>
      <c r="O84" s="35">
        <v>10.0</v>
      </c>
      <c r="P84" s="35"/>
      <c r="Q84" s="35"/>
      <c r="R84" s="35"/>
      <c r="S84" s="35"/>
      <c r="T84" s="35"/>
      <c r="U84" s="35">
        <v>6.0</v>
      </c>
      <c r="V84" s="35">
        <v>9.0</v>
      </c>
      <c r="W84" s="35">
        <v>10.0</v>
      </c>
      <c r="X84" s="36">
        <v>10.0</v>
      </c>
      <c r="Y84" s="37">
        <f t="shared" si="8"/>
        <v>6</v>
      </c>
      <c r="Z84" s="52">
        <f t="shared" si="2"/>
        <v>9.25</v>
      </c>
      <c r="AA84" s="48">
        <v>4.0</v>
      </c>
      <c r="AB84" s="48">
        <v>37.0</v>
      </c>
      <c r="AC84" s="50">
        <f t="shared" si="3"/>
        <v>55</v>
      </c>
      <c r="AD84" s="53">
        <v>15.0</v>
      </c>
      <c r="AE84" s="54">
        <f t="shared" si="4"/>
        <v>70</v>
      </c>
      <c r="AF84" s="44">
        <f t="shared" si="5"/>
        <v>92.48317913</v>
      </c>
      <c r="AG84" s="55"/>
      <c r="AH84" s="46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</row>
    <row r="85" ht="12.75" customHeight="1">
      <c r="A85" s="31">
        <v>74.0</v>
      </c>
      <c r="B85" s="47">
        <v>82.0</v>
      </c>
      <c r="C85" s="32">
        <v>10.0</v>
      </c>
      <c r="D85" s="33" t="s">
        <v>94</v>
      </c>
      <c r="E85" s="34"/>
      <c r="F85" s="35"/>
      <c r="G85" s="35"/>
      <c r="H85" s="35"/>
      <c r="I85" s="35"/>
      <c r="J85" s="35"/>
      <c r="K85" s="35"/>
      <c r="L85" s="35"/>
      <c r="M85" s="35">
        <v>7.0</v>
      </c>
      <c r="N85" s="35"/>
      <c r="O85" s="35">
        <v>10.0</v>
      </c>
      <c r="P85" s="35"/>
      <c r="Q85" s="35"/>
      <c r="R85" s="35"/>
      <c r="S85" s="35"/>
      <c r="T85" s="35"/>
      <c r="U85" s="35">
        <v>8.0</v>
      </c>
      <c r="V85" s="35">
        <v>9.0</v>
      </c>
      <c r="W85" s="35">
        <v>10.0</v>
      </c>
      <c r="X85" s="36">
        <v>9.0</v>
      </c>
      <c r="Y85" s="37">
        <f t="shared" si="8"/>
        <v>6</v>
      </c>
      <c r="Z85" s="38">
        <f t="shared" si="2"/>
        <v>10.14285714</v>
      </c>
      <c r="AA85" s="48">
        <v>7.0</v>
      </c>
      <c r="AB85" s="49">
        <f>10+10+10++9+8+8+16</f>
        <v>71</v>
      </c>
      <c r="AC85" s="50">
        <f t="shared" si="3"/>
        <v>53</v>
      </c>
      <c r="AD85" s="42">
        <v>15.0</v>
      </c>
      <c r="AE85" s="43">
        <f t="shared" si="4"/>
        <v>68</v>
      </c>
      <c r="AF85" s="44">
        <f t="shared" si="5"/>
        <v>81.93228122</v>
      </c>
      <c r="AG85" s="55"/>
      <c r="AH85" s="46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</row>
    <row r="86" ht="12.75" customHeight="1">
      <c r="A86" s="47">
        <v>107.0</v>
      </c>
      <c r="B86" s="47">
        <v>83.0</v>
      </c>
      <c r="C86" s="32">
        <v>120.0</v>
      </c>
      <c r="D86" s="33" t="s">
        <v>102</v>
      </c>
      <c r="E86" s="34"/>
      <c r="F86" s="35"/>
      <c r="G86" s="35"/>
      <c r="H86" s="35"/>
      <c r="I86" s="35"/>
      <c r="J86" s="35"/>
      <c r="K86" s="35">
        <v>10.0</v>
      </c>
      <c r="L86" s="35"/>
      <c r="M86" s="35">
        <v>9.5</v>
      </c>
      <c r="N86" s="35"/>
      <c r="O86" s="35">
        <v>10.0</v>
      </c>
      <c r="P86" s="35">
        <v>10.0</v>
      </c>
      <c r="Q86" s="35">
        <v>10.0</v>
      </c>
      <c r="R86" s="35"/>
      <c r="S86" s="35"/>
      <c r="T86" s="35"/>
      <c r="U86" s="35"/>
      <c r="V86" s="35"/>
      <c r="W86" s="35"/>
      <c r="X86" s="36"/>
      <c r="Y86" s="37">
        <f t="shared" si="8"/>
        <v>5</v>
      </c>
      <c r="Z86" s="38">
        <f t="shared" si="2"/>
        <v>15.5</v>
      </c>
      <c r="AA86" s="48">
        <v>6.0</v>
      </c>
      <c r="AB86" s="49">
        <f>18+17+15+15+14+14</f>
        <v>93</v>
      </c>
      <c r="AC86" s="50">
        <f t="shared" si="3"/>
        <v>49.5</v>
      </c>
      <c r="AD86" s="42">
        <v>15.0</v>
      </c>
      <c r="AE86" s="43">
        <f t="shared" si="4"/>
        <v>64.5</v>
      </c>
      <c r="AF86" s="44">
        <f t="shared" si="5"/>
        <v>50.85509377</v>
      </c>
      <c r="AG86" s="45"/>
      <c r="AH86" s="46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</row>
    <row r="87" ht="12.75" customHeight="1">
      <c r="A87" s="47">
        <v>94.0</v>
      </c>
      <c r="B87" s="47">
        <v>84.0</v>
      </c>
      <c r="C87" s="32">
        <v>90.0</v>
      </c>
      <c r="D87" s="33" t="s">
        <v>103</v>
      </c>
      <c r="E87" s="34"/>
      <c r="F87" s="35"/>
      <c r="G87" s="35"/>
      <c r="H87" s="35"/>
      <c r="I87" s="35"/>
      <c r="J87" s="35"/>
      <c r="K87" s="35"/>
      <c r="L87" s="35"/>
      <c r="M87" s="35"/>
      <c r="N87" s="35"/>
      <c r="O87" s="35">
        <v>10.0</v>
      </c>
      <c r="P87" s="35"/>
      <c r="Q87" s="35"/>
      <c r="R87" s="35">
        <v>10.0</v>
      </c>
      <c r="S87" s="35">
        <v>10.0</v>
      </c>
      <c r="T87" s="35">
        <v>9.0</v>
      </c>
      <c r="U87" s="35">
        <v>7.0</v>
      </c>
      <c r="V87" s="35">
        <v>9.0</v>
      </c>
      <c r="W87" s="35">
        <v>9.0</v>
      </c>
      <c r="X87" s="36"/>
      <c r="Y87" s="37">
        <f t="shared" si="8"/>
        <v>7</v>
      </c>
      <c r="Z87" s="38">
        <f t="shared" si="2"/>
        <v>13</v>
      </c>
      <c r="AA87" s="48">
        <v>6.0</v>
      </c>
      <c r="AB87" s="49">
        <f>12+13+14+14+13+12</f>
        <v>78</v>
      </c>
      <c r="AC87" s="50">
        <f t="shared" si="3"/>
        <v>64</v>
      </c>
      <c r="AD87" s="42"/>
      <c r="AE87" s="43">
        <f t="shared" si="4"/>
        <v>64</v>
      </c>
      <c r="AF87" s="44">
        <f t="shared" si="5"/>
        <v>60.16488136</v>
      </c>
      <c r="AG87" s="45"/>
      <c r="AH87" s="46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</row>
    <row r="88" ht="12.75" customHeight="1">
      <c r="A88" s="31">
        <v>83.0</v>
      </c>
      <c r="B88" s="31">
        <v>85.0</v>
      </c>
      <c r="C88" s="32">
        <v>96.0</v>
      </c>
      <c r="D88" s="33" t="s">
        <v>104</v>
      </c>
      <c r="E88" s="34"/>
      <c r="F88" s="35"/>
      <c r="G88" s="35"/>
      <c r="H88" s="35"/>
      <c r="I88" s="35"/>
      <c r="J88" s="35"/>
      <c r="K88" s="35"/>
      <c r="L88" s="35"/>
      <c r="M88" s="35">
        <v>8.0</v>
      </c>
      <c r="N88" s="35"/>
      <c r="O88" s="35">
        <v>10.0</v>
      </c>
      <c r="P88" s="35">
        <v>9.5</v>
      </c>
      <c r="Q88" s="35">
        <v>10.0</v>
      </c>
      <c r="R88" s="35">
        <v>8.0</v>
      </c>
      <c r="S88" s="35">
        <v>10.0</v>
      </c>
      <c r="T88" s="35">
        <v>8.0</v>
      </c>
      <c r="U88" s="35"/>
      <c r="V88" s="35"/>
      <c r="W88" s="35"/>
      <c r="X88" s="36"/>
      <c r="Y88" s="37">
        <f t="shared" si="8"/>
        <v>7</v>
      </c>
      <c r="Z88" s="38">
        <f t="shared" si="2"/>
        <v>10.83333333</v>
      </c>
      <c r="AA88" s="48">
        <v>6.0</v>
      </c>
      <c r="AB88" s="48">
        <f>11+9+11+11+11+12</f>
        <v>65</v>
      </c>
      <c r="AC88" s="50">
        <f t="shared" si="3"/>
        <v>63.5</v>
      </c>
      <c r="AD88" s="42"/>
      <c r="AE88" s="43">
        <f t="shared" si="4"/>
        <v>63.5</v>
      </c>
      <c r="AF88" s="44">
        <f t="shared" si="5"/>
        <v>71.63381188</v>
      </c>
      <c r="AG88" s="45" t="s">
        <v>23</v>
      </c>
      <c r="AH88" s="46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</row>
    <row r="89" ht="12.75" customHeight="1">
      <c r="A89" s="47">
        <v>92.0</v>
      </c>
      <c r="B89" s="31">
        <v>86.0</v>
      </c>
      <c r="C89" s="32">
        <v>97.0</v>
      </c>
      <c r="D89" s="33" t="s">
        <v>105</v>
      </c>
      <c r="E89" s="34"/>
      <c r="F89" s="35"/>
      <c r="G89" s="35"/>
      <c r="H89" s="35"/>
      <c r="I89" s="35"/>
      <c r="J89" s="35"/>
      <c r="K89" s="35"/>
      <c r="L89" s="35"/>
      <c r="M89" s="35">
        <v>8.0</v>
      </c>
      <c r="N89" s="35"/>
      <c r="O89" s="35">
        <v>10.0</v>
      </c>
      <c r="P89" s="35">
        <v>9.5</v>
      </c>
      <c r="Q89" s="35">
        <v>10.0</v>
      </c>
      <c r="R89" s="35">
        <v>8.0</v>
      </c>
      <c r="S89" s="35">
        <v>10.0</v>
      </c>
      <c r="T89" s="35">
        <v>8.0</v>
      </c>
      <c r="U89" s="35"/>
      <c r="V89" s="35"/>
      <c r="W89" s="35"/>
      <c r="X89" s="36"/>
      <c r="Y89" s="37">
        <f t="shared" si="8"/>
        <v>7</v>
      </c>
      <c r="Z89" s="52">
        <f t="shared" si="2"/>
        <v>12.5</v>
      </c>
      <c r="AA89" s="71">
        <v>6.0</v>
      </c>
      <c r="AB89" s="71">
        <f>11+11+13+13+13+14</f>
        <v>75</v>
      </c>
      <c r="AC89" s="72">
        <f t="shared" si="3"/>
        <v>63.5</v>
      </c>
      <c r="AD89" s="53"/>
      <c r="AE89" s="54">
        <f t="shared" si="4"/>
        <v>63.5</v>
      </c>
      <c r="AF89" s="44">
        <f t="shared" si="5"/>
        <v>62.08263696</v>
      </c>
      <c r="AG89" s="45" t="s">
        <v>23</v>
      </c>
      <c r="AH89" s="46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</row>
    <row r="90" ht="12.75" customHeight="1">
      <c r="A90" s="47">
        <v>73.0</v>
      </c>
      <c r="B90" s="47">
        <v>87.0</v>
      </c>
      <c r="C90" s="32">
        <v>126.0</v>
      </c>
      <c r="D90" s="33" t="s">
        <v>106</v>
      </c>
      <c r="E90" s="34"/>
      <c r="F90" s="35"/>
      <c r="G90" s="35"/>
      <c r="H90" s="35"/>
      <c r="I90" s="35"/>
      <c r="J90" s="35"/>
      <c r="K90" s="35"/>
      <c r="L90" s="35"/>
      <c r="M90" s="35">
        <v>9.0</v>
      </c>
      <c r="N90" s="35"/>
      <c r="O90" s="35">
        <v>10.0</v>
      </c>
      <c r="P90" s="35">
        <v>9.0</v>
      </c>
      <c r="Q90" s="35">
        <v>10.0</v>
      </c>
      <c r="R90" s="35"/>
      <c r="S90" s="35">
        <v>10.0</v>
      </c>
      <c r="T90" s="64"/>
      <c r="U90" s="64"/>
      <c r="V90" s="64"/>
      <c r="W90" s="64"/>
      <c r="X90" s="36"/>
      <c r="Y90" s="37">
        <f t="shared" si="8"/>
        <v>5</v>
      </c>
      <c r="Z90" s="52">
        <f t="shared" si="2"/>
        <v>9.142857143</v>
      </c>
      <c r="AA90" s="71">
        <v>7.0</v>
      </c>
      <c r="AB90" s="73">
        <f>9+9+11+10+9+8+8</f>
        <v>64</v>
      </c>
      <c r="AC90" s="72">
        <f t="shared" si="3"/>
        <v>48</v>
      </c>
      <c r="AD90" s="53">
        <v>15.0</v>
      </c>
      <c r="AE90" s="54">
        <f t="shared" si="4"/>
        <v>63</v>
      </c>
      <c r="AF90" s="44">
        <f t="shared" si="5"/>
        <v>84.21026974</v>
      </c>
      <c r="AG90" s="45"/>
      <c r="AH90" s="46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</row>
    <row r="91" ht="12.75" customHeight="1">
      <c r="A91" s="31">
        <v>79.0</v>
      </c>
      <c r="B91" s="47">
        <v>88.0</v>
      </c>
      <c r="C91" s="32">
        <v>29.0</v>
      </c>
      <c r="D91" s="33" t="s">
        <v>107</v>
      </c>
      <c r="E91" s="34"/>
      <c r="F91" s="35"/>
      <c r="G91" s="35"/>
      <c r="H91" s="35"/>
      <c r="I91" s="35"/>
      <c r="J91" s="35"/>
      <c r="K91" s="35">
        <v>8.0</v>
      </c>
      <c r="L91" s="35"/>
      <c r="M91" s="35">
        <v>6.0</v>
      </c>
      <c r="N91" s="35"/>
      <c r="O91" s="35"/>
      <c r="P91" s="35">
        <v>8.0</v>
      </c>
      <c r="Q91" s="35">
        <v>10.0</v>
      </c>
      <c r="R91" s="35"/>
      <c r="S91" s="35"/>
      <c r="T91" s="35"/>
      <c r="U91" s="35"/>
      <c r="V91" s="35">
        <v>10.0</v>
      </c>
      <c r="W91" s="35">
        <v>6.0</v>
      </c>
      <c r="X91" s="36"/>
      <c r="Y91" s="37">
        <f t="shared" si="8"/>
        <v>6</v>
      </c>
      <c r="Z91" s="52">
        <f t="shared" si="2"/>
        <v>9.714285714</v>
      </c>
      <c r="AA91" s="71">
        <v>7.0</v>
      </c>
      <c r="AB91" s="71">
        <f>9+9+10+10+10+11+9</f>
        <v>68</v>
      </c>
      <c r="AC91" s="72">
        <f t="shared" si="3"/>
        <v>48</v>
      </c>
      <c r="AD91" s="53">
        <v>15.0</v>
      </c>
      <c r="AE91" s="54">
        <f t="shared" si="4"/>
        <v>63</v>
      </c>
      <c r="AF91" s="44">
        <f t="shared" si="5"/>
        <v>79.25672446</v>
      </c>
      <c r="AG91" s="45"/>
      <c r="AH91" s="46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</row>
    <row r="92" ht="12.75" customHeight="1">
      <c r="A92" s="47">
        <v>67.0</v>
      </c>
      <c r="B92" s="47">
        <v>89.0</v>
      </c>
      <c r="C92" s="32">
        <v>127.0</v>
      </c>
      <c r="D92" s="33" t="s">
        <v>108</v>
      </c>
      <c r="E92" s="34"/>
      <c r="F92" s="35"/>
      <c r="G92" s="35"/>
      <c r="H92" s="35"/>
      <c r="I92" s="35"/>
      <c r="J92" s="35"/>
      <c r="K92" s="35"/>
      <c r="L92" s="35"/>
      <c r="M92" s="35">
        <v>9.0</v>
      </c>
      <c r="N92" s="35"/>
      <c r="O92" s="35">
        <v>10.0</v>
      </c>
      <c r="P92" s="35">
        <v>9.5</v>
      </c>
      <c r="Q92" s="35">
        <v>10.0</v>
      </c>
      <c r="R92" s="35"/>
      <c r="S92" s="35">
        <v>9.0</v>
      </c>
      <c r="T92" s="35"/>
      <c r="U92" s="35"/>
      <c r="V92" s="35"/>
      <c r="W92" s="35"/>
      <c r="X92" s="36"/>
      <c r="Y92" s="37">
        <f t="shared" si="8"/>
        <v>5</v>
      </c>
      <c r="Z92" s="52">
        <f t="shared" si="2"/>
        <v>8.428571429</v>
      </c>
      <c r="AA92" s="71">
        <v>7.0</v>
      </c>
      <c r="AB92" s="73">
        <f>8+9+8+8+8+10+8</f>
        <v>59</v>
      </c>
      <c r="AC92" s="72">
        <f t="shared" si="3"/>
        <v>47.5</v>
      </c>
      <c r="AD92" s="53">
        <v>15.0</v>
      </c>
      <c r="AE92" s="54">
        <f t="shared" si="4"/>
        <v>62.5</v>
      </c>
      <c r="AF92" s="44">
        <f t="shared" si="5"/>
        <v>90.62175921</v>
      </c>
      <c r="AG92" s="45"/>
      <c r="AH92" s="46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</row>
    <row r="93" ht="12.75" customHeight="1">
      <c r="A93" s="47">
        <v>104.0</v>
      </c>
      <c r="B93" s="31">
        <v>90.0</v>
      </c>
      <c r="C93" s="32">
        <v>139.0</v>
      </c>
      <c r="D93" s="33" t="s">
        <v>109</v>
      </c>
      <c r="E93" s="34"/>
      <c r="F93" s="35"/>
      <c r="G93" s="35"/>
      <c r="H93" s="35"/>
      <c r="I93" s="35"/>
      <c r="J93" s="35"/>
      <c r="K93" s="35">
        <v>10.0</v>
      </c>
      <c r="L93" s="35"/>
      <c r="M93" s="35">
        <v>8.5</v>
      </c>
      <c r="N93" s="35"/>
      <c r="O93" s="35">
        <v>10.0</v>
      </c>
      <c r="P93" s="35"/>
      <c r="Q93" s="64"/>
      <c r="R93" s="35"/>
      <c r="S93" s="35"/>
      <c r="T93" s="35"/>
      <c r="U93" s="35"/>
      <c r="V93" s="35"/>
      <c r="W93" s="35">
        <v>10.0</v>
      </c>
      <c r="X93" s="36">
        <v>9.0</v>
      </c>
      <c r="Y93" s="37">
        <f t="shared" si="8"/>
        <v>5</v>
      </c>
      <c r="Z93" s="52">
        <f t="shared" si="2"/>
        <v>14.5</v>
      </c>
      <c r="AA93" s="71">
        <v>4.0</v>
      </c>
      <c r="AB93" s="73">
        <f>15+15+13+15</f>
        <v>58</v>
      </c>
      <c r="AC93" s="72">
        <f t="shared" si="3"/>
        <v>47.5</v>
      </c>
      <c r="AD93" s="53">
        <v>15.0</v>
      </c>
      <c r="AE93" s="54">
        <f t="shared" si="4"/>
        <v>62.5</v>
      </c>
      <c r="AF93" s="44">
        <f t="shared" si="5"/>
        <v>52.67668762</v>
      </c>
      <c r="AG93" s="55"/>
      <c r="AH93" s="46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</row>
    <row r="94" ht="12.75" customHeight="1">
      <c r="A94" s="31">
        <v>93.0</v>
      </c>
      <c r="B94" s="31">
        <v>91.0</v>
      </c>
      <c r="C94" s="32">
        <v>121.0</v>
      </c>
      <c r="D94" s="33" t="s">
        <v>110</v>
      </c>
      <c r="E94" s="34"/>
      <c r="F94" s="35">
        <v>9.0</v>
      </c>
      <c r="G94" s="35">
        <v>10.0</v>
      </c>
      <c r="H94" s="35">
        <v>8.0</v>
      </c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>
        <v>10.0</v>
      </c>
      <c r="X94" s="36">
        <v>10.0</v>
      </c>
      <c r="Y94" s="37">
        <f t="shared" si="8"/>
        <v>5</v>
      </c>
      <c r="Z94" s="52">
        <f t="shared" si="2"/>
        <v>12.5</v>
      </c>
      <c r="AA94" s="71">
        <v>6.0</v>
      </c>
      <c r="AB94" s="71">
        <f>12+13+12+13+13+12</f>
        <v>75</v>
      </c>
      <c r="AC94" s="72">
        <f t="shared" si="3"/>
        <v>47</v>
      </c>
      <c r="AD94" s="53">
        <v>15.0</v>
      </c>
      <c r="AE94" s="54">
        <f t="shared" si="4"/>
        <v>62</v>
      </c>
      <c r="AF94" s="44">
        <f t="shared" si="5"/>
        <v>60.61611798</v>
      </c>
      <c r="AG94" s="45" t="s">
        <v>15</v>
      </c>
      <c r="AH94" s="46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</row>
    <row r="95" ht="12.75" customHeight="1">
      <c r="A95" s="47">
        <v>78.0</v>
      </c>
      <c r="B95" s="47">
        <v>92.0</v>
      </c>
      <c r="C95" s="32">
        <v>15.0</v>
      </c>
      <c r="D95" s="33" t="s">
        <v>101</v>
      </c>
      <c r="E95" s="34"/>
      <c r="F95" s="35"/>
      <c r="G95" s="35"/>
      <c r="H95" s="35"/>
      <c r="I95" s="35"/>
      <c r="J95" s="35"/>
      <c r="K95" s="35">
        <v>10.0</v>
      </c>
      <c r="L95" s="35"/>
      <c r="M95" s="35"/>
      <c r="N95" s="35"/>
      <c r="O95" s="35"/>
      <c r="P95" s="35"/>
      <c r="Q95" s="35"/>
      <c r="R95" s="35"/>
      <c r="S95" s="35"/>
      <c r="T95" s="35"/>
      <c r="U95" s="35">
        <v>7.0</v>
      </c>
      <c r="V95" s="35">
        <v>9.0</v>
      </c>
      <c r="W95" s="35">
        <v>10.0</v>
      </c>
      <c r="X95" s="36">
        <v>10.0</v>
      </c>
      <c r="Y95" s="37">
        <f t="shared" si="8"/>
        <v>5</v>
      </c>
      <c r="Z95" s="52">
        <f t="shared" si="2"/>
        <v>9.25</v>
      </c>
      <c r="AA95" s="71">
        <v>4.0</v>
      </c>
      <c r="AB95" s="71">
        <v>37.0</v>
      </c>
      <c r="AC95" s="72">
        <f t="shared" si="3"/>
        <v>46</v>
      </c>
      <c r="AD95" s="53">
        <v>15.0</v>
      </c>
      <c r="AE95" s="54">
        <f t="shared" si="4"/>
        <v>61</v>
      </c>
      <c r="AF95" s="44">
        <f t="shared" si="5"/>
        <v>80.59248467</v>
      </c>
      <c r="AG95" s="45"/>
      <c r="AH95" s="46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</row>
    <row r="96" ht="12.75" customHeight="1">
      <c r="A96" s="47">
        <v>90.0</v>
      </c>
      <c r="B96" s="47">
        <v>93.0</v>
      </c>
      <c r="C96" s="32">
        <v>138.0</v>
      </c>
      <c r="D96" s="33" t="s">
        <v>111</v>
      </c>
      <c r="E96" s="34"/>
      <c r="F96" s="35"/>
      <c r="G96" s="35"/>
      <c r="H96" s="35"/>
      <c r="I96" s="35"/>
      <c r="J96" s="35"/>
      <c r="K96" s="35">
        <v>10.0</v>
      </c>
      <c r="L96" s="35"/>
      <c r="M96" s="35">
        <v>9.0</v>
      </c>
      <c r="N96" s="35"/>
      <c r="O96" s="35">
        <v>10.0</v>
      </c>
      <c r="P96" s="35"/>
      <c r="Q96" s="64"/>
      <c r="R96" s="35"/>
      <c r="S96" s="35"/>
      <c r="T96" s="35"/>
      <c r="U96" s="35"/>
      <c r="V96" s="35"/>
      <c r="W96" s="35">
        <v>8.0</v>
      </c>
      <c r="X96" s="36">
        <v>9.0</v>
      </c>
      <c r="Y96" s="37">
        <f t="shared" si="8"/>
        <v>5</v>
      </c>
      <c r="Z96" s="52">
        <f t="shared" si="2"/>
        <v>11.33333333</v>
      </c>
      <c r="AA96" s="71">
        <v>6.0</v>
      </c>
      <c r="AB96" s="73">
        <f>11+10+12+12+12+11</f>
        <v>68</v>
      </c>
      <c r="AC96" s="72">
        <f t="shared" si="3"/>
        <v>46</v>
      </c>
      <c r="AD96" s="53">
        <v>15.0</v>
      </c>
      <c r="AE96" s="54">
        <f t="shared" si="4"/>
        <v>61</v>
      </c>
      <c r="AF96" s="44">
        <f t="shared" si="5"/>
        <v>65.77768969</v>
      </c>
      <c r="AG96" s="55"/>
      <c r="AH96" s="46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</row>
    <row r="97" ht="12.75" customHeight="1">
      <c r="A97" s="31">
        <v>97.0</v>
      </c>
      <c r="B97" s="47">
        <v>94.0</v>
      </c>
      <c r="C97" s="32">
        <v>17.0</v>
      </c>
      <c r="D97" s="33" t="s">
        <v>112</v>
      </c>
      <c r="E97" s="34"/>
      <c r="F97" s="35"/>
      <c r="G97" s="35">
        <v>8.0</v>
      </c>
      <c r="H97" s="35">
        <v>8.0</v>
      </c>
      <c r="I97" s="35">
        <v>7.0</v>
      </c>
      <c r="J97" s="35">
        <v>8.0</v>
      </c>
      <c r="K97" s="35">
        <v>10.0</v>
      </c>
      <c r="L97" s="35"/>
      <c r="M97" s="35">
        <v>9.0</v>
      </c>
      <c r="N97" s="35"/>
      <c r="O97" s="35">
        <v>10.0</v>
      </c>
      <c r="P97" s="35"/>
      <c r="Q97" s="35"/>
      <c r="R97" s="35"/>
      <c r="S97" s="35"/>
      <c r="T97" s="35"/>
      <c r="U97" s="35"/>
      <c r="V97" s="35"/>
      <c r="W97" s="35"/>
      <c r="X97" s="36"/>
      <c r="Y97" s="37">
        <f t="shared" si="8"/>
        <v>7</v>
      </c>
      <c r="Z97" s="52">
        <f t="shared" si="2"/>
        <v>12.5</v>
      </c>
      <c r="AA97" s="71">
        <v>6.0</v>
      </c>
      <c r="AB97" s="73">
        <f>13+14+13+13+11+11</f>
        <v>75</v>
      </c>
      <c r="AC97" s="72">
        <f t="shared" si="3"/>
        <v>60</v>
      </c>
      <c r="AD97" s="53"/>
      <c r="AE97" s="54">
        <f t="shared" si="4"/>
        <v>60</v>
      </c>
      <c r="AF97" s="44">
        <f t="shared" si="5"/>
        <v>58.66075933</v>
      </c>
      <c r="AG97" s="45"/>
      <c r="AH97" s="46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</row>
    <row r="98" ht="12.75" customHeight="1">
      <c r="A98" s="47">
        <v>103.0</v>
      </c>
      <c r="B98" s="31">
        <v>95.0</v>
      </c>
      <c r="C98" s="32">
        <v>89.0</v>
      </c>
      <c r="D98" s="33" t="s">
        <v>113</v>
      </c>
      <c r="E98" s="34"/>
      <c r="F98" s="35"/>
      <c r="G98" s="35"/>
      <c r="H98" s="35"/>
      <c r="I98" s="35"/>
      <c r="J98" s="35"/>
      <c r="K98" s="35">
        <v>9.0</v>
      </c>
      <c r="L98" s="35"/>
      <c r="M98" s="35">
        <v>10.0</v>
      </c>
      <c r="N98" s="35"/>
      <c r="O98" s="35">
        <v>10.0</v>
      </c>
      <c r="P98" s="35">
        <v>10.0</v>
      </c>
      <c r="Q98" s="35">
        <v>10.0</v>
      </c>
      <c r="R98" s="35"/>
      <c r="S98" s="35"/>
      <c r="T98" s="35"/>
      <c r="U98" s="35"/>
      <c r="V98" s="35">
        <v>9.0</v>
      </c>
      <c r="W98" s="35"/>
      <c r="X98" s="36"/>
      <c r="Y98" s="37">
        <f t="shared" si="8"/>
        <v>6</v>
      </c>
      <c r="Z98" s="52">
        <f t="shared" si="2"/>
        <v>13.25</v>
      </c>
      <c r="AA98" s="71">
        <v>4.0</v>
      </c>
      <c r="AB98" s="73">
        <f>14+13+12+14</f>
        <v>53</v>
      </c>
      <c r="AC98" s="72">
        <f t="shared" si="3"/>
        <v>58</v>
      </c>
      <c r="AD98" s="53"/>
      <c r="AE98" s="54">
        <f t="shared" si="4"/>
        <v>58</v>
      </c>
      <c r="AF98" s="44">
        <f t="shared" si="5"/>
        <v>53.49566102</v>
      </c>
      <c r="AG98" s="45"/>
      <c r="AH98" s="46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</row>
    <row r="99" ht="12.75" customHeight="1">
      <c r="A99" s="47">
        <v>96.0</v>
      </c>
      <c r="B99" s="31">
        <v>96.0</v>
      </c>
      <c r="C99" s="32">
        <v>123.0</v>
      </c>
      <c r="D99" s="33" t="s">
        <v>114</v>
      </c>
      <c r="E99" s="34"/>
      <c r="F99" s="35"/>
      <c r="G99" s="35"/>
      <c r="H99" s="35"/>
      <c r="I99" s="35"/>
      <c r="J99" s="35"/>
      <c r="K99" s="35"/>
      <c r="L99" s="35"/>
      <c r="M99" s="35">
        <v>7.0</v>
      </c>
      <c r="N99" s="35"/>
      <c r="O99" s="35">
        <v>9.0</v>
      </c>
      <c r="P99" s="35">
        <v>8.5</v>
      </c>
      <c r="Q99" s="35">
        <v>10.0</v>
      </c>
      <c r="R99" s="35">
        <v>8.0</v>
      </c>
      <c r="S99" s="35"/>
      <c r="T99" s="35"/>
      <c r="U99" s="35"/>
      <c r="V99" s="35"/>
      <c r="W99" s="35"/>
      <c r="X99" s="36"/>
      <c r="Y99" s="37">
        <f t="shared" si="8"/>
        <v>5</v>
      </c>
      <c r="Z99" s="52">
        <f t="shared" si="2"/>
        <v>11.75</v>
      </c>
      <c r="AA99" s="71">
        <v>4.0</v>
      </c>
      <c r="AB99" s="71">
        <f>15+11+11+10</f>
        <v>47</v>
      </c>
      <c r="AC99" s="72">
        <f t="shared" si="3"/>
        <v>42.5</v>
      </c>
      <c r="AD99" s="53">
        <v>15.0</v>
      </c>
      <c r="AE99" s="54">
        <f t="shared" si="4"/>
        <v>57.5</v>
      </c>
      <c r="AF99" s="44">
        <f t="shared" si="5"/>
        <v>59.80485215</v>
      </c>
      <c r="AG99" s="45"/>
      <c r="AH99" s="46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</row>
    <row r="100" ht="12.75" customHeight="1">
      <c r="A100" s="31">
        <v>98.0</v>
      </c>
      <c r="B100" s="47">
        <v>97.0</v>
      </c>
      <c r="C100" s="32">
        <v>98.0</v>
      </c>
      <c r="D100" s="33" t="s">
        <v>115</v>
      </c>
      <c r="E100" s="34"/>
      <c r="F100" s="35">
        <v>9.0</v>
      </c>
      <c r="G100" s="35">
        <v>9.0</v>
      </c>
      <c r="H100" s="35">
        <v>6.0</v>
      </c>
      <c r="I100" s="35">
        <v>8.0</v>
      </c>
      <c r="J100" s="35">
        <v>10.0</v>
      </c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6"/>
      <c r="Y100" s="37">
        <f t="shared" si="8"/>
        <v>5</v>
      </c>
      <c r="Z100" s="52">
        <f t="shared" si="2"/>
        <v>12.14285714</v>
      </c>
      <c r="AA100" s="71">
        <v>7.0</v>
      </c>
      <c r="AB100" s="73">
        <f>13+12+12+11+13+12+12</f>
        <v>85</v>
      </c>
      <c r="AC100" s="72">
        <f t="shared" si="3"/>
        <v>42</v>
      </c>
      <c r="AD100" s="53">
        <v>15.0</v>
      </c>
      <c r="AE100" s="54">
        <f t="shared" si="4"/>
        <v>57</v>
      </c>
      <c r="AF100" s="44">
        <f t="shared" si="5"/>
        <v>57.36677199</v>
      </c>
      <c r="AG100" s="45" t="s">
        <v>17</v>
      </c>
      <c r="AH100" s="46"/>
      <c r="AI100" s="3"/>
      <c r="AJ100" s="70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</row>
    <row r="101" ht="12.75" customHeight="1">
      <c r="A101" s="47">
        <v>85.0</v>
      </c>
      <c r="B101" s="47">
        <v>98.0</v>
      </c>
      <c r="C101" s="32">
        <v>30.0</v>
      </c>
      <c r="D101" s="33" t="s">
        <v>116</v>
      </c>
      <c r="E101" s="34"/>
      <c r="F101" s="35"/>
      <c r="G101" s="35"/>
      <c r="H101" s="35"/>
      <c r="I101" s="35"/>
      <c r="J101" s="35"/>
      <c r="K101" s="35">
        <v>9.0</v>
      </c>
      <c r="L101" s="35"/>
      <c r="M101" s="35">
        <v>9.0</v>
      </c>
      <c r="N101" s="35"/>
      <c r="O101" s="35">
        <v>10.0</v>
      </c>
      <c r="P101" s="35">
        <v>9.0</v>
      </c>
      <c r="Q101" s="35"/>
      <c r="R101" s="35"/>
      <c r="S101" s="35">
        <v>9.0</v>
      </c>
      <c r="T101" s="35"/>
      <c r="U101" s="35"/>
      <c r="V101" s="35"/>
      <c r="W101" s="35">
        <v>10.0</v>
      </c>
      <c r="X101" s="36"/>
      <c r="Y101" s="37">
        <f t="shared" si="8"/>
        <v>6</v>
      </c>
      <c r="Z101" s="52">
        <f t="shared" si="2"/>
        <v>10</v>
      </c>
      <c r="AA101" s="71">
        <v>5.0</v>
      </c>
      <c r="AB101" s="71">
        <v>50.0</v>
      </c>
      <c r="AC101" s="72">
        <f t="shared" si="3"/>
        <v>56</v>
      </c>
      <c r="AD101" s="53"/>
      <c r="AE101" s="54">
        <f t="shared" si="4"/>
        <v>56</v>
      </c>
      <c r="AF101" s="44">
        <f t="shared" si="5"/>
        <v>68.43755255</v>
      </c>
      <c r="AG101" s="45" t="s">
        <v>30</v>
      </c>
      <c r="AH101" s="46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</row>
    <row r="102" ht="12.75" customHeight="1">
      <c r="A102" s="47">
        <v>99.0</v>
      </c>
      <c r="B102" s="47">
        <v>99.0</v>
      </c>
      <c r="C102" s="32">
        <v>102.0</v>
      </c>
      <c r="D102" s="33" t="s">
        <v>117</v>
      </c>
      <c r="E102" s="34"/>
      <c r="F102" s="35">
        <v>9.0</v>
      </c>
      <c r="G102" s="35">
        <v>10.0</v>
      </c>
      <c r="H102" s="35">
        <v>7.0</v>
      </c>
      <c r="I102" s="35"/>
      <c r="J102" s="35">
        <v>10.0</v>
      </c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>
        <v>10.0</v>
      </c>
      <c r="X102" s="36">
        <v>10.0</v>
      </c>
      <c r="Y102" s="37">
        <f t="shared" si="8"/>
        <v>6</v>
      </c>
      <c r="Z102" s="52">
        <f t="shared" si="2"/>
        <v>12.16666667</v>
      </c>
      <c r="AA102" s="71">
        <v>6.0</v>
      </c>
      <c r="AB102" s="71">
        <f>13+12+12+12+12+12</f>
        <v>73</v>
      </c>
      <c r="AC102" s="72">
        <f t="shared" si="3"/>
        <v>56</v>
      </c>
      <c r="AD102" s="53"/>
      <c r="AE102" s="54">
        <f t="shared" si="4"/>
        <v>56</v>
      </c>
      <c r="AF102" s="44">
        <f t="shared" si="5"/>
        <v>56.25004319</v>
      </c>
      <c r="AG102" s="45"/>
      <c r="AH102" s="46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</row>
    <row r="103" ht="12.75" customHeight="1">
      <c r="A103" s="31">
        <v>105.0</v>
      </c>
      <c r="B103" s="31">
        <v>100.0</v>
      </c>
      <c r="C103" s="32">
        <v>32.0</v>
      </c>
      <c r="D103" s="33" t="s">
        <v>118</v>
      </c>
      <c r="E103" s="34"/>
      <c r="F103" s="35">
        <v>8.0</v>
      </c>
      <c r="G103" s="35">
        <v>7.0</v>
      </c>
      <c r="H103" s="35">
        <v>8.0</v>
      </c>
      <c r="I103" s="35">
        <v>9.0</v>
      </c>
      <c r="J103" s="35">
        <v>9.0</v>
      </c>
      <c r="K103" s="35"/>
      <c r="L103" s="35"/>
      <c r="M103" s="35"/>
      <c r="N103" s="35"/>
      <c r="O103" s="35"/>
      <c r="P103" s="35"/>
      <c r="Q103" s="64"/>
      <c r="R103" s="35"/>
      <c r="S103" s="35"/>
      <c r="T103" s="35"/>
      <c r="U103" s="35"/>
      <c r="V103" s="35"/>
      <c r="W103" s="35"/>
      <c r="X103" s="36"/>
      <c r="Y103" s="37">
        <f t="shared" si="8"/>
        <v>5</v>
      </c>
      <c r="Z103" s="52">
        <f t="shared" si="2"/>
        <v>13.2</v>
      </c>
      <c r="AA103" s="71">
        <v>5.0</v>
      </c>
      <c r="AB103" s="71">
        <f>14+14+13+12+13</f>
        <v>66</v>
      </c>
      <c r="AC103" s="72">
        <f t="shared" si="3"/>
        <v>41</v>
      </c>
      <c r="AD103" s="53">
        <v>15.0</v>
      </c>
      <c r="AE103" s="54">
        <f t="shared" si="4"/>
        <v>56</v>
      </c>
      <c r="AF103" s="44">
        <f t="shared" si="5"/>
        <v>51.84663072</v>
      </c>
      <c r="AG103" s="45"/>
      <c r="AH103" s="46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</row>
    <row r="104" ht="12.75" customHeight="1">
      <c r="A104" s="47">
        <v>102.0</v>
      </c>
      <c r="B104" s="31">
        <v>101.0</v>
      </c>
      <c r="C104" s="32">
        <v>99.0</v>
      </c>
      <c r="D104" s="33" t="s">
        <v>119</v>
      </c>
      <c r="E104" s="34"/>
      <c r="F104" s="35">
        <v>8.0</v>
      </c>
      <c r="G104" s="35">
        <v>7.0</v>
      </c>
      <c r="H104" s="35"/>
      <c r="I104" s="35">
        <v>8.0</v>
      </c>
      <c r="J104" s="35">
        <v>8.0</v>
      </c>
      <c r="K104" s="35"/>
      <c r="L104" s="35"/>
      <c r="M104" s="35"/>
      <c r="N104" s="35"/>
      <c r="O104" s="35"/>
      <c r="P104" s="35"/>
      <c r="Q104" s="64"/>
      <c r="R104" s="35"/>
      <c r="S104" s="35"/>
      <c r="T104" s="35"/>
      <c r="U104" s="35"/>
      <c r="V104" s="35"/>
      <c r="W104" s="35">
        <v>9.0</v>
      </c>
      <c r="X104" s="36"/>
      <c r="Y104" s="37">
        <f t="shared" si="8"/>
        <v>5</v>
      </c>
      <c r="Z104" s="52">
        <f t="shared" si="2"/>
        <v>12.4</v>
      </c>
      <c r="AA104" s="71">
        <v>5.0</v>
      </c>
      <c r="AB104" s="71">
        <f>12+13+12+13+12</f>
        <v>62</v>
      </c>
      <c r="AC104" s="72">
        <f t="shared" si="3"/>
        <v>40</v>
      </c>
      <c r="AD104" s="53">
        <v>15.0</v>
      </c>
      <c r="AE104" s="54">
        <f t="shared" si="4"/>
        <v>55</v>
      </c>
      <c r="AF104" s="44">
        <f t="shared" si="5"/>
        <v>54.20601081</v>
      </c>
      <c r="AG104" s="45"/>
      <c r="AH104" s="46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</row>
    <row r="105" ht="12.75" customHeight="1">
      <c r="A105" s="47">
        <v>110.0</v>
      </c>
      <c r="B105" s="47">
        <v>102.0</v>
      </c>
      <c r="C105" s="32">
        <v>110.0</v>
      </c>
      <c r="D105" s="33" t="s">
        <v>120</v>
      </c>
      <c r="E105" s="34"/>
      <c r="F105" s="35"/>
      <c r="G105" s="35"/>
      <c r="H105" s="35"/>
      <c r="I105" s="35"/>
      <c r="J105" s="35"/>
      <c r="K105" s="35"/>
      <c r="L105" s="35"/>
      <c r="M105" s="35">
        <v>8.0</v>
      </c>
      <c r="N105" s="35"/>
      <c r="O105" s="35">
        <v>10.0</v>
      </c>
      <c r="P105" s="35"/>
      <c r="Q105" s="35">
        <v>8.0</v>
      </c>
      <c r="R105" s="35">
        <v>9.0</v>
      </c>
      <c r="S105" s="35">
        <v>8.0</v>
      </c>
      <c r="T105" s="35"/>
      <c r="U105" s="35"/>
      <c r="V105" s="35"/>
      <c r="W105" s="35">
        <v>9.0</v>
      </c>
      <c r="X105" s="36">
        <v>3.0</v>
      </c>
      <c r="Y105" s="37">
        <f t="shared" si="8"/>
        <v>7</v>
      </c>
      <c r="Z105" s="52">
        <f t="shared" si="2"/>
        <v>13.5</v>
      </c>
      <c r="AA105" s="71">
        <v>4.0</v>
      </c>
      <c r="AB105" s="73">
        <f>13+13+12+16</f>
        <v>54</v>
      </c>
      <c r="AC105" s="72">
        <f t="shared" si="3"/>
        <v>55</v>
      </c>
      <c r="AD105" s="53"/>
      <c r="AE105" s="54">
        <f t="shared" si="4"/>
        <v>55</v>
      </c>
      <c r="AF105" s="44">
        <f t="shared" si="5"/>
        <v>49.78922474</v>
      </c>
      <c r="AG105" s="45"/>
      <c r="AH105" s="46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</row>
    <row r="106" ht="12.75" customHeight="1">
      <c r="A106" s="31">
        <v>84.0</v>
      </c>
      <c r="B106" s="47">
        <v>103.0</v>
      </c>
      <c r="C106" s="32">
        <v>128.0</v>
      </c>
      <c r="D106" s="33" t="s">
        <v>106</v>
      </c>
      <c r="E106" s="34"/>
      <c r="F106" s="64"/>
      <c r="G106" s="35"/>
      <c r="H106" s="35"/>
      <c r="I106" s="35"/>
      <c r="J106" s="35"/>
      <c r="K106" s="35">
        <v>10.0</v>
      </c>
      <c r="L106" s="35"/>
      <c r="M106" s="35">
        <v>9.0</v>
      </c>
      <c r="N106" s="35"/>
      <c r="O106" s="35">
        <v>10.0</v>
      </c>
      <c r="P106" s="35">
        <v>10.0</v>
      </c>
      <c r="Q106" s="35"/>
      <c r="R106" s="35"/>
      <c r="S106" s="35"/>
      <c r="T106" s="35"/>
      <c r="U106" s="35"/>
      <c r="V106" s="35"/>
      <c r="W106" s="35"/>
      <c r="X106" s="69"/>
      <c r="Y106" s="37">
        <f t="shared" si="8"/>
        <v>4</v>
      </c>
      <c r="Z106" s="52">
        <f t="shared" si="2"/>
        <v>9.428571429</v>
      </c>
      <c r="AA106" s="71">
        <v>7.0</v>
      </c>
      <c r="AB106" s="71">
        <f>8+10+10+9+10+9+10</f>
        <v>66</v>
      </c>
      <c r="AC106" s="72">
        <f t="shared" si="3"/>
        <v>39</v>
      </c>
      <c r="AD106" s="53">
        <v>15.0</v>
      </c>
      <c r="AE106" s="54">
        <f t="shared" si="4"/>
        <v>54</v>
      </c>
      <c r="AF106" s="44">
        <f t="shared" si="5"/>
        <v>69.99295147</v>
      </c>
      <c r="AG106" s="45"/>
      <c r="AH106" s="46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</row>
    <row r="107" ht="12.75" customHeight="1">
      <c r="A107" s="47">
        <v>86.0</v>
      </c>
      <c r="B107" s="47">
        <v>104.0</v>
      </c>
      <c r="C107" s="32">
        <v>129.0</v>
      </c>
      <c r="D107" s="33" t="s">
        <v>121</v>
      </c>
      <c r="E107" s="34"/>
      <c r="F107" s="35"/>
      <c r="G107" s="35"/>
      <c r="H107" s="35"/>
      <c r="I107" s="35"/>
      <c r="J107" s="35"/>
      <c r="K107" s="35">
        <v>10.0</v>
      </c>
      <c r="L107" s="35"/>
      <c r="M107" s="35">
        <v>9.0</v>
      </c>
      <c r="N107" s="35"/>
      <c r="O107" s="35">
        <v>10.0</v>
      </c>
      <c r="P107" s="35"/>
      <c r="Q107" s="35">
        <v>10.0</v>
      </c>
      <c r="R107" s="35"/>
      <c r="S107" s="35"/>
      <c r="T107" s="35"/>
      <c r="U107" s="35"/>
      <c r="V107" s="35"/>
      <c r="W107" s="35"/>
      <c r="X107" s="36"/>
      <c r="Y107" s="37">
        <f t="shared" si="8"/>
        <v>4</v>
      </c>
      <c r="Z107" s="52">
        <f t="shared" si="2"/>
        <v>9.857142857</v>
      </c>
      <c r="AA107" s="71">
        <v>7.0</v>
      </c>
      <c r="AB107" s="73">
        <f>9+11+11+8+10+10+10</f>
        <v>69</v>
      </c>
      <c r="AC107" s="72">
        <f t="shared" si="3"/>
        <v>39</v>
      </c>
      <c r="AD107" s="53">
        <v>15.0</v>
      </c>
      <c r="AE107" s="54">
        <f t="shared" si="4"/>
        <v>54</v>
      </c>
      <c r="AF107" s="44">
        <f t="shared" si="5"/>
        <v>66.94977967</v>
      </c>
      <c r="AG107" s="45"/>
      <c r="AH107" s="46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</row>
    <row r="108" ht="12.75" customHeight="1">
      <c r="A108" s="47">
        <v>95.0</v>
      </c>
      <c r="B108" s="31">
        <v>105.0</v>
      </c>
      <c r="C108" s="32">
        <v>131.0</v>
      </c>
      <c r="D108" s="33" t="s">
        <v>122</v>
      </c>
      <c r="E108" s="34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>
        <v>7.0</v>
      </c>
      <c r="S108" s="35">
        <v>9.0</v>
      </c>
      <c r="T108" s="35">
        <v>6.0</v>
      </c>
      <c r="U108" s="35">
        <v>8.0</v>
      </c>
      <c r="V108" s="35">
        <v>9.0</v>
      </c>
      <c r="W108" s="35"/>
      <c r="X108" s="36"/>
      <c r="Y108" s="37">
        <f t="shared" si="8"/>
        <v>5</v>
      </c>
      <c r="Z108" s="52">
        <f t="shared" si="2"/>
        <v>11</v>
      </c>
      <c r="AA108" s="71">
        <v>6.0</v>
      </c>
      <c r="AB108" s="71">
        <v>66.0</v>
      </c>
      <c r="AC108" s="72">
        <f t="shared" si="3"/>
        <v>39</v>
      </c>
      <c r="AD108" s="53">
        <v>15.0</v>
      </c>
      <c r="AE108" s="54">
        <f t="shared" si="4"/>
        <v>54</v>
      </c>
      <c r="AF108" s="44">
        <f t="shared" si="5"/>
        <v>59.99395841</v>
      </c>
      <c r="AG108" s="45"/>
      <c r="AH108" s="46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</row>
    <row r="109" ht="12.75" customHeight="1">
      <c r="A109" s="31">
        <v>100.0</v>
      </c>
      <c r="B109" s="31">
        <v>106.0</v>
      </c>
      <c r="C109" s="32">
        <v>74.0</v>
      </c>
      <c r="D109" s="33" t="s">
        <v>123</v>
      </c>
      <c r="E109" s="34"/>
      <c r="F109" s="35"/>
      <c r="G109" s="35"/>
      <c r="H109" s="35"/>
      <c r="I109" s="35"/>
      <c r="J109" s="35"/>
      <c r="K109" s="35">
        <v>8.0</v>
      </c>
      <c r="L109" s="35"/>
      <c r="M109" s="35">
        <v>7.0</v>
      </c>
      <c r="N109" s="35"/>
      <c r="O109" s="35">
        <v>9.0</v>
      </c>
      <c r="P109" s="35">
        <v>10.0</v>
      </c>
      <c r="Q109" s="35">
        <v>10.0</v>
      </c>
      <c r="R109" s="35">
        <v>8.0</v>
      </c>
      <c r="S109" s="35"/>
      <c r="T109" s="35"/>
      <c r="U109" s="35"/>
      <c r="V109" s="35"/>
      <c r="W109" s="35"/>
      <c r="X109" s="36"/>
      <c r="Y109" s="37">
        <f t="shared" si="8"/>
        <v>6</v>
      </c>
      <c r="Z109" s="52">
        <f t="shared" si="2"/>
        <v>11.57142857</v>
      </c>
      <c r="AA109" s="71">
        <v>7.0</v>
      </c>
      <c r="AB109" s="73">
        <f>13+12+12+11+11+11+11</f>
        <v>81</v>
      </c>
      <c r="AC109" s="72">
        <f t="shared" si="3"/>
        <v>52</v>
      </c>
      <c r="AD109" s="53"/>
      <c r="AE109" s="54">
        <f t="shared" si="4"/>
        <v>52</v>
      </c>
      <c r="AF109" s="44">
        <f t="shared" si="5"/>
        <v>54.91902365</v>
      </c>
      <c r="AG109" s="45"/>
      <c r="AH109" s="46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</row>
    <row r="110" ht="12.75" customHeight="1">
      <c r="A110" s="47">
        <v>112.0</v>
      </c>
      <c r="B110" s="47">
        <v>107.0</v>
      </c>
      <c r="C110" s="32">
        <v>101.0</v>
      </c>
      <c r="D110" s="33" t="s">
        <v>124</v>
      </c>
      <c r="E110" s="34"/>
      <c r="F110" s="35">
        <v>10.0</v>
      </c>
      <c r="G110" s="35">
        <v>8.0</v>
      </c>
      <c r="H110" s="35">
        <v>8.0</v>
      </c>
      <c r="I110" s="35"/>
      <c r="J110" s="35">
        <v>8.0</v>
      </c>
      <c r="K110" s="64"/>
      <c r="L110" s="35"/>
      <c r="M110" s="35"/>
      <c r="N110" s="35"/>
      <c r="O110" s="35"/>
      <c r="P110" s="35"/>
      <c r="Q110" s="35"/>
      <c r="R110" s="35"/>
      <c r="S110" s="35"/>
      <c r="T110" s="35"/>
      <c r="U110" s="66"/>
      <c r="V110" s="35"/>
      <c r="W110" s="35">
        <v>9.0</v>
      </c>
      <c r="X110" s="36">
        <v>9.0</v>
      </c>
      <c r="Y110" s="37">
        <f t="shared" si="8"/>
        <v>6</v>
      </c>
      <c r="Z110" s="52">
        <f t="shared" si="2"/>
        <v>13.2</v>
      </c>
      <c r="AA110" s="71">
        <v>5.0</v>
      </c>
      <c r="AB110" s="71">
        <f>13+13+14+14+12</f>
        <v>66</v>
      </c>
      <c r="AC110" s="72">
        <f t="shared" si="3"/>
        <v>52</v>
      </c>
      <c r="AD110" s="53"/>
      <c r="AE110" s="54">
        <f t="shared" si="4"/>
        <v>52</v>
      </c>
      <c r="AF110" s="44">
        <f t="shared" si="5"/>
        <v>48.14329996</v>
      </c>
      <c r="AG110" s="55"/>
      <c r="AH110" s="46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</row>
    <row r="111" ht="12.75" customHeight="1">
      <c r="A111" s="47">
        <v>109.0</v>
      </c>
      <c r="B111" s="47">
        <v>108.0</v>
      </c>
      <c r="C111" s="32">
        <v>84.0</v>
      </c>
      <c r="D111" s="33" t="s">
        <v>125</v>
      </c>
      <c r="E111" s="34"/>
      <c r="F111" s="35"/>
      <c r="G111" s="35">
        <v>9.0</v>
      </c>
      <c r="H111" s="35">
        <v>8.0</v>
      </c>
      <c r="I111" s="35">
        <v>10.0</v>
      </c>
      <c r="J111" s="35">
        <v>9.0</v>
      </c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6"/>
      <c r="Y111" s="37">
        <f t="shared" si="8"/>
        <v>4</v>
      </c>
      <c r="Z111" s="52">
        <f t="shared" si="2"/>
        <v>12.5</v>
      </c>
      <c r="AA111" s="71">
        <v>2.0</v>
      </c>
      <c r="AB111" s="71">
        <v>25.0</v>
      </c>
      <c r="AC111" s="72">
        <f t="shared" si="3"/>
        <v>36</v>
      </c>
      <c r="AD111" s="53">
        <v>15.0</v>
      </c>
      <c r="AE111" s="54">
        <f t="shared" si="4"/>
        <v>51</v>
      </c>
      <c r="AF111" s="44">
        <f t="shared" si="5"/>
        <v>49.86164543</v>
      </c>
      <c r="AG111" s="45" t="s">
        <v>126</v>
      </c>
      <c r="AH111" s="46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</row>
    <row r="112" ht="12.75" customHeight="1">
      <c r="A112" s="31">
        <v>113.0</v>
      </c>
      <c r="B112" s="47">
        <v>109.0</v>
      </c>
      <c r="C112" s="32">
        <v>85.0</v>
      </c>
      <c r="D112" s="33" t="s">
        <v>127</v>
      </c>
      <c r="E112" s="34"/>
      <c r="F112" s="35"/>
      <c r="G112" s="35">
        <v>9.0</v>
      </c>
      <c r="H112" s="35">
        <v>8.0</v>
      </c>
      <c r="I112" s="35">
        <v>10.0</v>
      </c>
      <c r="J112" s="35">
        <v>8.0</v>
      </c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6"/>
      <c r="Y112" s="37">
        <f t="shared" si="8"/>
        <v>4</v>
      </c>
      <c r="Z112" s="52">
        <f t="shared" si="2"/>
        <v>12.75</v>
      </c>
      <c r="AA112" s="71">
        <v>4.0</v>
      </c>
      <c r="AB112" s="73">
        <f>12+13+12+14</f>
        <v>51</v>
      </c>
      <c r="AC112" s="72">
        <f t="shared" si="3"/>
        <v>35</v>
      </c>
      <c r="AD112" s="53">
        <v>15.0</v>
      </c>
      <c r="AE112" s="54">
        <f t="shared" si="4"/>
        <v>50</v>
      </c>
      <c r="AF112" s="44">
        <f t="shared" si="5"/>
        <v>47.92545697</v>
      </c>
      <c r="AG112" s="45" t="s">
        <v>126</v>
      </c>
      <c r="AH112" s="46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</row>
    <row r="113" ht="12.75" customHeight="1">
      <c r="A113" s="47">
        <v>106.0</v>
      </c>
      <c r="B113" s="31">
        <v>110.0</v>
      </c>
      <c r="C113" s="32">
        <v>36.0</v>
      </c>
      <c r="D113" s="33" t="s">
        <v>128</v>
      </c>
      <c r="E113" s="34"/>
      <c r="F113" s="35">
        <v>8.0</v>
      </c>
      <c r="G113" s="35">
        <v>7.0</v>
      </c>
      <c r="H113" s="35">
        <v>9.0</v>
      </c>
      <c r="I113" s="35"/>
      <c r="J113" s="35">
        <v>10.0</v>
      </c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>
        <v>9.0</v>
      </c>
      <c r="X113" s="36">
        <v>6.0</v>
      </c>
      <c r="Y113" s="37">
        <f t="shared" si="8"/>
        <v>6</v>
      </c>
      <c r="Z113" s="52">
        <f t="shared" si="2"/>
        <v>11.66666667</v>
      </c>
      <c r="AA113" s="71">
        <v>6.0</v>
      </c>
      <c r="AB113" s="71">
        <f>12+12+12+12+11+11</f>
        <v>70</v>
      </c>
      <c r="AC113" s="72">
        <f t="shared" si="3"/>
        <v>49</v>
      </c>
      <c r="AD113" s="53"/>
      <c r="AE113" s="54">
        <f t="shared" si="4"/>
        <v>49</v>
      </c>
      <c r="AF113" s="44">
        <f t="shared" si="5"/>
        <v>51.32816441</v>
      </c>
      <c r="AG113" s="45" t="s">
        <v>30</v>
      </c>
      <c r="AH113" s="46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</row>
    <row r="114" ht="12.75" customHeight="1">
      <c r="A114" s="47">
        <v>108.0</v>
      </c>
      <c r="B114" s="31">
        <v>111.0</v>
      </c>
      <c r="C114" s="32">
        <v>40.0</v>
      </c>
      <c r="D114" s="33" t="s">
        <v>129</v>
      </c>
      <c r="E114" s="34"/>
      <c r="F114" s="35"/>
      <c r="G114" s="35"/>
      <c r="H114" s="35"/>
      <c r="I114" s="35"/>
      <c r="J114" s="35"/>
      <c r="K114" s="35">
        <v>9.0</v>
      </c>
      <c r="L114" s="35"/>
      <c r="M114" s="35">
        <v>10.0</v>
      </c>
      <c r="N114" s="35"/>
      <c r="O114" s="35">
        <v>10.0</v>
      </c>
      <c r="P114" s="35">
        <v>9.0</v>
      </c>
      <c r="Q114" s="35">
        <v>10.0</v>
      </c>
      <c r="R114" s="35"/>
      <c r="S114" s="35"/>
      <c r="T114" s="35"/>
      <c r="U114" s="35"/>
      <c r="V114" s="35"/>
      <c r="W114" s="35"/>
      <c r="X114" s="36"/>
      <c r="Y114" s="37">
        <f t="shared" si="8"/>
        <v>5</v>
      </c>
      <c r="Z114" s="52">
        <f t="shared" si="2"/>
        <v>11.71428571</v>
      </c>
      <c r="AA114" s="71">
        <v>7.0</v>
      </c>
      <c r="AB114" s="71">
        <f>11+12+11+10+12+13+13</f>
        <v>82</v>
      </c>
      <c r="AC114" s="72">
        <f t="shared" si="3"/>
        <v>48</v>
      </c>
      <c r="AD114" s="53"/>
      <c r="AE114" s="54">
        <f t="shared" si="4"/>
        <v>48</v>
      </c>
      <c r="AF114" s="44">
        <f t="shared" si="5"/>
        <v>50.07625797</v>
      </c>
      <c r="AG114" s="55"/>
      <c r="AH114" s="46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</row>
    <row r="115" ht="12.75" customHeight="1">
      <c r="A115" s="31">
        <v>114.0</v>
      </c>
      <c r="B115" s="47">
        <v>112.0</v>
      </c>
      <c r="C115" s="32">
        <v>31.0</v>
      </c>
      <c r="D115" s="33" t="s">
        <v>130</v>
      </c>
      <c r="E115" s="34"/>
      <c r="F115" s="35"/>
      <c r="G115" s="35">
        <v>7.0</v>
      </c>
      <c r="H115" s="35">
        <v>10.0</v>
      </c>
      <c r="I115" s="35">
        <v>7.0</v>
      </c>
      <c r="J115" s="35">
        <v>7.0</v>
      </c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66"/>
      <c r="W115" s="66"/>
      <c r="X115" s="36"/>
      <c r="Y115" s="37">
        <f t="shared" si="8"/>
        <v>4</v>
      </c>
      <c r="Z115" s="52">
        <f t="shared" si="2"/>
        <v>12</v>
      </c>
      <c r="AA115" s="71">
        <v>3.0</v>
      </c>
      <c r="AB115" s="71">
        <v>36.0</v>
      </c>
      <c r="AC115" s="72">
        <f t="shared" si="3"/>
        <v>31</v>
      </c>
      <c r="AD115" s="53">
        <v>15.0</v>
      </c>
      <c r="AE115" s="54">
        <f t="shared" si="4"/>
        <v>46</v>
      </c>
      <c r="AF115" s="44">
        <f t="shared" si="5"/>
        <v>46.84713419</v>
      </c>
      <c r="AG115" s="45"/>
      <c r="AH115" s="46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</row>
    <row r="116" ht="12.75" customHeight="1">
      <c r="A116" s="47">
        <v>101.0</v>
      </c>
      <c r="B116" s="47">
        <v>113.0</v>
      </c>
      <c r="C116" s="32">
        <v>72.0</v>
      </c>
      <c r="D116" s="33" t="s">
        <v>131</v>
      </c>
      <c r="E116" s="34"/>
      <c r="F116" s="35">
        <v>6.0</v>
      </c>
      <c r="G116" s="35">
        <v>10.0</v>
      </c>
      <c r="H116" s="35">
        <v>10.0</v>
      </c>
      <c r="I116" s="35">
        <v>8.0</v>
      </c>
      <c r="J116" s="35">
        <v>10.0</v>
      </c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6"/>
      <c r="Y116" s="37">
        <f t="shared" si="8"/>
        <v>5</v>
      </c>
      <c r="Z116" s="52">
        <f t="shared" si="2"/>
        <v>9.8</v>
      </c>
      <c r="AA116" s="71">
        <v>5.0</v>
      </c>
      <c r="AB116" s="71">
        <v>49.0</v>
      </c>
      <c r="AC116" s="72">
        <f t="shared" si="3"/>
        <v>44</v>
      </c>
      <c r="AD116" s="53"/>
      <c r="AE116" s="54">
        <f t="shared" si="4"/>
        <v>44</v>
      </c>
      <c r="AF116" s="44">
        <f t="shared" si="5"/>
        <v>54.86975788</v>
      </c>
      <c r="AG116" s="45" t="s">
        <v>15</v>
      </c>
      <c r="AH116" s="46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</row>
    <row r="117" ht="12.75" customHeight="1">
      <c r="A117" s="47">
        <v>111.0</v>
      </c>
      <c r="B117" s="47">
        <v>114.0</v>
      </c>
      <c r="C117" s="32">
        <v>60.0</v>
      </c>
      <c r="D117" s="33" t="s">
        <v>80</v>
      </c>
      <c r="E117" s="34"/>
      <c r="F117" s="35"/>
      <c r="G117" s="35">
        <v>9.0</v>
      </c>
      <c r="H117" s="35">
        <v>7.0</v>
      </c>
      <c r="I117" s="35">
        <v>9.0</v>
      </c>
      <c r="J117" s="35">
        <v>9.0</v>
      </c>
      <c r="K117" s="35"/>
      <c r="L117" s="35"/>
      <c r="M117" s="35"/>
      <c r="N117" s="35"/>
      <c r="O117" s="35"/>
      <c r="P117" s="35">
        <v>10.0</v>
      </c>
      <c r="Q117" s="66"/>
      <c r="R117" s="35"/>
      <c r="S117" s="35"/>
      <c r="T117" s="35"/>
      <c r="U117" s="35"/>
      <c r="V117" s="35"/>
      <c r="W117" s="35"/>
      <c r="X117" s="36"/>
      <c r="Y117" s="37">
        <f t="shared" si="8"/>
        <v>5</v>
      </c>
      <c r="Z117" s="52">
        <f t="shared" si="2"/>
        <v>11</v>
      </c>
      <c r="AA117" s="71">
        <v>7.0</v>
      </c>
      <c r="AB117" s="71">
        <v>77.0</v>
      </c>
      <c r="AC117" s="72">
        <f t="shared" si="3"/>
        <v>44</v>
      </c>
      <c r="AD117" s="53"/>
      <c r="AE117" s="54">
        <f t="shared" si="4"/>
        <v>44</v>
      </c>
      <c r="AF117" s="44">
        <f t="shared" si="5"/>
        <v>48.88396611</v>
      </c>
      <c r="AG117" s="45" t="s">
        <v>23</v>
      </c>
      <c r="AH117" s="46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</row>
    <row r="118" ht="12.75" customHeight="1">
      <c r="A118" s="31">
        <v>118.0</v>
      </c>
      <c r="B118" s="31">
        <v>115.0</v>
      </c>
      <c r="C118" s="32">
        <v>11.0</v>
      </c>
      <c r="D118" s="33" t="s">
        <v>94</v>
      </c>
      <c r="E118" s="34"/>
      <c r="F118" s="35"/>
      <c r="G118" s="35"/>
      <c r="H118" s="35"/>
      <c r="I118" s="35"/>
      <c r="J118" s="35"/>
      <c r="K118" s="35">
        <v>8.0</v>
      </c>
      <c r="L118" s="35"/>
      <c r="M118" s="35">
        <v>7.0</v>
      </c>
      <c r="N118" s="35"/>
      <c r="O118" s="35">
        <v>10.0</v>
      </c>
      <c r="P118" s="35"/>
      <c r="Q118" s="35"/>
      <c r="R118" s="35"/>
      <c r="S118" s="35"/>
      <c r="T118" s="35"/>
      <c r="U118" s="35"/>
      <c r="V118" s="35"/>
      <c r="W118" s="35">
        <v>9.0</v>
      </c>
      <c r="X118" s="36">
        <v>9.0</v>
      </c>
      <c r="Y118" s="37">
        <f t="shared" si="8"/>
        <v>5</v>
      </c>
      <c r="Z118" s="52">
        <f t="shared" si="2"/>
        <v>13</v>
      </c>
      <c r="AA118" s="71">
        <v>7.0</v>
      </c>
      <c r="AB118" s="73">
        <f>12+12+13++13+13+12+16</f>
        <v>91</v>
      </c>
      <c r="AC118" s="72">
        <f t="shared" si="3"/>
        <v>43</v>
      </c>
      <c r="AD118" s="53"/>
      <c r="AE118" s="54">
        <f t="shared" si="4"/>
        <v>43</v>
      </c>
      <c r="AF118" s="44">
        <f t="shared" si="5"/>
        <v>40.42327967</v>
      </c>
      <c r="AG118" s="45" t="s">
        <v>19</v>
      </c>
      <c r="AH118" s="46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</row>
    <row r="119" ht="12.75" customHeight="1">
      <c r="A119" s="47">
        <v>124.0</v>
      </c>
      <c r="B119" s="31">
        <v>116.0</v>
      </c>
      <c r="C119" s="32">
        <v>12.0</v>
      </c>
      <c r="D119" s="33" t="s">
        <v>94</v>
      </c>
      <c r="E119" s="34"/>
      <c r="F119" s="35"/>
      <c r="G119" s="35"/>
      <c r="H119" s="35"/>
      <c r="I119" s="35"/>
      <c r="J119" s="35"/>
      <c r="K119" s="35">
        <v>9.0</v>
      </c>
      <c r="L119" s="35"/>
      <c r="M119" s="35">
        <v>8.0</v>
      </c>
      <c r="N119" s="35"/>
      <c r="O119" s="35">
        <v>9.0</v>
      </c>
      <c r="P119" s="35"/>
      <c r="Q119" s="35"/>
      <c r="R119" s="35"/>
      <c r="S119" s="35"/>
      <c r="T119" s="35"/>
      <c r="U119" s="35"/>
      <c r="V119" s="35"/>
      <c r="W119" s="35">
        <v>7.0</v>
      </c>
      <c r="X119" s="36">
        <v>8.0</v>
      </c>
      <c r="Y119" s="37">
        <f t="shared" si="8"/>
        <v>5</v>
      </c>
      <c r="Z119" s="52">
        <f t="shared" si="2"/>
        <v>13.42857143</v>
      </c>
      <c r="AA119" s="71">
        <v>7.0</v>
      </c>
      <c r="AB119" s="71">
        <f>14+13+13+13+13+12+16</f>
        <v>94</v>
      </c>
      <c r="AC119" s="72">
        <f t="shared" si="3"/>
        <v>41</v>
      </c>
      <c r="AD119" s="53"/>
      <c r="AE119" s="54">
        <f t="shared" si="4"/>
        <v>41</v>
      </c>
      <c r="AF119" s="44">
        <f t="shared" si="5"/>
        <v>37.31302732</v>
      </c>
      <c r="AG119" s="45"/>
      <c r="AH119" s="46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</row>
    <row r="120" ht="12.75" customHeight="1">
      <c r="A120" s="47">
        <v>117.0</v>
      </c>
      <c r="B120" s="47">
        <v>117.0</v>
      </c>
      <c r="C120" s="32">
        <v>142.0</v>
      </c>
      <c r="D120" s="33" t="s">
        <v>132</v>
      </c>
      <c r="E120" s="34"/>
      <c r="F120" s="35">
        <v>7.0</v>
      </c>
      <c r="G120" s="35">
        <v>7.0</v>
      </c>
      <c r="H120" s="35">
        <v>9.0</v>
      </c>
      <c r="I120" s="35">
        <v>9.0</v>
      </c>
      <c r="J120" s="35">
        <v>8.0</v>
      </c>
      <c r="K120" s="35"/>
      <c r="L120" s="35"/>
      <c r="M120" s="35"/>
      <c r="N120" s="35"/>
      <c r="O120" s="35"/>
      <c r="P120" s="35"/>
      <c r="Q120" s="64"/>
      <c r="R120" s="35"/>
      <c r="S120" s="35"/>
      <c r="T120" s="35"/>
      <c r="U120" s="35"/>
      <c r="V120" s="35"/>
      <c r="W120" s="35"/>
      <c r="X120" s="36"/>
      <c r="Y120" s="37">
        <f t="shared" si="8"/>
        <v>5</v>
      </c>
      <c r="Z120" s="52">
        <f t="shared" si="2"/>
        <v>11.71428571</v>
      </c>
      <c r="AA120" s="71">
        <v>7.0</v>
      </c>
      <c r="AB120" s="73">
        <f>13+13+11+11+12+11+11</f>
        <v>82</v>
      </c>
      <c r="AC120" s="72">
        <f t="shared" si="3"/>
        <v>40</v>
      </c>
      <c r="AD120" s="53"/>
      <c r="AE120" s="54">
        <f t="shared" si="4"/>
        <v>40</v>
      </c>
      <c r="AF120" s="44">
        <f t="shared" si="5"/>
        <v>41.73021497</v>
      </c>
      <c r="AG120" s="55"/>
      <c r="AH120" s="46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</row>
    <row r="121" ht="12.75" customHeight="1">
      <c r="A121" s="31">
        <v>122.0</v>
      </c>
      <c r="B121" s="47">
        <v>118.0</v>
      </c>
      <c r="C121" s="32">
        <v>59.0</v>
      </c>
      <c r="D121" s="33" t="s">
        <v>133</v>
      </c>
      <c r="E121" s="34"/>
      <c r="F121" s="35"/>
      <c r="G121" s="35"/>
      <c r="H121" s="35"/>
      <c r="I121" s="35"/>
      <c r="J121" s="66"/>
      <c r="K121" s="66"/>
      <c r="L121" s="64"/>
      <c r="M121" s="35"/>
      <c r="N121" s="35"/>
      <c r="O121" s="35"/>
      <c r="P121" s="35"/>
      <c r="Q121" s="35"/>
      <c r="R121" s="35"/>
      <c r="S121" s="35">
        <v>9.0</v>
      </c>
      <c r="T121" s="35"/>
      <c r="U121" s="35">
        <v>7.0</v>
      </c>
      <c r="V121" s="35">
        <v>9.0</v>
      </c>
      <c r="W121" s="64"/>
      <c r="X121" s="36"/>
      <c r="Y121" s="37">
        <f t="shared" si="8"/>
        <v>3</v>
      </c>
      <c r="Z121" s="52">
        <f t="shared" si="2"/>
        <v>12.83333333</v>
      </c>
      <c r="AA121" s="71">
        <v>6.0</v>
      </c>
      <c r="AB121" s="73">
        <f>12+13+12+14+14+12</f>
        <v>77</v>
      </c>
      <c r="AC121" s="72">
        <f t="shared" si="3"/>
        <v>25</v>
      </c>
      <c r="AD121" s="53">
        <v>15.0</v>
      </c>
      <c r="AE121" s="54">
        <f t="shared" si="4"/>
        <v>40</v>
      </c>
      <c r="AF121" s="44">
        <f t="shared" si="5"/>
        <v>38.09140216</v>
      </c>
      <c r="AG121" s="45"/>
      <c r="AH121" s="46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</row>
    <row r="122" ht="12.75" customHeight="1">
      <c r="A122" s="47">
        <v>116.0</v>
      </c>
      <c r="B122" s="47">
        <v>119.0</v>
      </c>
      <c r="C122" s="32">
        <v>73.0</v>
      </c>
      <c r="D122" s="33" t="s">
        <v>134</v>
      </c>
      <c r="E122" s="34"/>
      <c r="F122" s="35">
        <v>5.0</v>
      </c>
      <c r="G122" s="35">
        <v>7.0</v>
      </c>
      <c r="H122" s="35">
        <v>9.5</v>
      </c>
      <c r="I122" s="35">
        <v>8.0</v>
      </c>
      <c r="J122" s="35">
        <v>9.0</v>
      </c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6"/>
      <c r="Y122" s="37">
        <f t="shared" si="8"/>
        <v>5</v>
      </c>
      <c r="Z122" s="52">
        <f t="shared" si="2"/>
        <v>11</v>
      </c>
      <c r="AA122" s="71">
        <v>5.0</v>
      </c>
      <c r="AB122" s="73">
        <f>12+11+12+10+10</f>
        <v>55</v>
      </c>
      <c r="AC122" s="72">
        <f t="shared" si="3"/>
        <v>38.5</v>
      </c>
      <c r="AD122" s="53"/>
      <c r="AE122" s="54">
        <f t="shared" si="4"/>
        <v>38.5</v>
      </c>
      <c r="AF122" s="44">
        <f t="shared" si="5"/>
        <v>42.77347035</v>
      </c>
      <c r="AG122" s="45" t="s">
        <v>16</v>
      </c>
      <c r="AH122" s="46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</row>
    <row r="123" ht="12.75" customHeight="1">
      <c r="A123" s="47">
        <v>121.0</v>
      </c>
      <c r="B123" s="31">
        <v>120.0</v>
      </c>
      <c r="C123" s="32">
        <v>86.0</v>
      </c>
      <c r="D123" s="33" t="s">
        <v>135</v>
      </c>
      <c r="E123" s="34"/>
      <c r="F123" s="35">
        <v>9.0</v>
      </c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>
        <v>10.0</v>
      </c>
      <c r="W123" s="35">
        <v>10.0</v>
      </c>
      <c r="X123" s="36">
        <v>9.0</v>
      </c>
      <c r="Y123" s="37">
        <f t="shared" si="8"/>
        <v>4</v>
      </c>
      <c r="Z123" s="52">
        <f t="shared" si="2"/>
        <v>12.16666667</v>
      </c>
      <c r="AA123" s="71">
        <v>6.0</v>
      </c>
      <c r="AB123" s="71">
        <v>73.0</v>
      </c>
      <c r="AC123" s="72">
        <f t="shared" si="3"/>
        <v>38</v>
      </c>
      <c r="AD123" s="53">
        <v>0.0</v>
      </c>
      <c r="AE123" s="54">
        <f t="shared" si="4"/>
        <v>38</v>
      </c>
      <c r="AF123" s="44">
        <f t="shared" si="5"/>
        <v>38.16967217</v>
      </c>
      <c r="AG123" s="45"/>
      <c r="AH123" s="46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</row>
    <row r="124" ht="12.75" customHeight="1">
      <c r="A124" s="31">
        <v>123.0</v>
      </c>
      <c r="B124" s="31">
        <v>121.0</v>
      </c>
      <c r="C124" s="32">
        <v>56.0</v>
      </c>
      <c r="D124" s="33" t="s">
        <v>66</v>
      </c>
      <c r="E124" s="34"/>
      <c r="F124" s="35">
        <v>9.0</v>
      </c>
      <c r="G124" s="35">
        <v>9.0</v>
      </c>
      <c r="H124" s="35"/>
      <c r="I124" s="35"/>
      <c r="J124" s="35">
        <v>10.0</v>
      </c>
      <c r="K124" s="64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>
        <v>10.0</v>
      </c>
      <c r="X124" s="36"/>
      <c r="Y124" s="37">
        <f t="shared" si="8"/>
        <v>4</v>
      </c>
      <c r="Z124" s="52">
        <f t="shared" si="2"/>
        <v>12.33333333</v>
      </c>
      <c r="AA124" s="71">
        <v>3.0</v>
      </c>
      <c r="AB124" s="71">
        <v>37.0</v>
      </c>
      <c r="AC124" s="72">
        <f t="shared" si="3"/>
        <v>38</v>
      </c>
      <c r="AD124" s="53"/>
      <c r="AE124" s="54">
        <f t="shared" si="4"/>
        <v>38</v>
      </c>
      <c r="AF124" s="44">
        <f t="shared" si="5"/>
        <v>37.65386579</v>
      </c>
      <c r="AG124" s="45" t="s">
        <v>18</v>
      </c>
      <c r="AH124" s="46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</row>
    <row r="125" ht="12.75" customHeight="1">
      <c r="A125" s="47">
        <v>125.0</v>
      </c>
      <c r="B125" s="47">
        <v>122.0</v>
      </c>
      <c r="C125" s="32">
        <v>62.0</v>
      </c>
      <c r="D125" s="33" t="s">
        <v>136</v>
      </c>
      <c r="E125" s="34"/>
      <c r="F125" s="35">
        <v>10.0</v>
      </c>
      <c r="G125" s="35">
        <v>5.0</v>
      </c>
      <c r="H125" s="35">
        <v>8.0</v>
      </c>
      <c r="I125" s="35">
        <v>8.0</v>
      </c>
      <c r="J125" s="35">
        <v>7.0</v>
      </c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6"/>
      <c r="Y125" s="37">
        <f t="shared" si="8"/>
        <v>5</v>
      </c>
      <c r="Z125" s="52">
        <f t="shared" si="2"/>
        <v>12.57142857</v>
      </c>
      <c r="AA125" s="71">
        <v>7.0</v>
      </c>
      <c r="AB125" s="71">
        <f>13+13+13+14+12+11+12</f>
        <v>88</v>
      </c>
      <c r="AC125" s="72">
        <f t="shared" si="3"/>
        <v>38</v>
      </c>
      <c r="AD125" s="53"/>
      <c r="AE125" s="54">
        <f t="shared" si="4"/>
        <v>38</v>
      </c>
      <c r="AF125" s="44">
        <f t="shared" si="5"/>
        <v>36.94072439</v>
      </c>
      <c r="AG125" s="45" t="s">
        <v>137</v>
      </c>
      <c r="AH125" s="46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</row>
    <row r="126" ht="12.75" customHeight="1">
      <c r="A126" s="47">
        <v>115.0</v>
      </c>
      <c r="B126" s="47">
        <v>123.0</v>
      </c>
      <c r="C126" s="32">
        <v>64.0</v>
      </c>
      <c r="D126" s="33" t="s">
        <v>80</v>
      </c>
      <c r="E126" s="34"/>
      <c r="F126" s="35"/>
      <c r="G126" s="35"/>
      <c r="H126" s="35"/>
      <c r="I126" s="35"/>
      <c r="J126" s="35"/>
      <c r="K126" s="35"/>
      <c r="L126" s="35"/>
      <c r="M126" s="35">
        <v>10.0</v>
      </c>
      <c r="N126" s="35"/>
      <c r="O126" s="35" t="s">
        <v>138</v>
      </c>
      <c r="P126" s="35">
        <v>10.0</v>
      </c>
      <c r="Q126" s="35" t="s">
        <v>138</v>
      </c>
      <c r="R126" s="35"/>
      <c r="S126" s="35"/>
      <c r="T126" s="35"/>
      <c r="U126" s="35"/>
      <c r="V126" s="35"/>
      <c r="W126" s="35"/>
      <c r="X126" s="36"/>
      <c r="Y126" s="37">
        <f t="shared" si="8"/>
        <v>4</v>
      </c>
      <c r="Z126" s="52">
        <f t="shared" si="2"/>
        <v>9.5</v>
      </c>
      <c r="AA126" s="71">
        <v>4.0</v>
      </c>
      <c r="AB126" s="73">
        <f>10+10+9+9</f>
        <v>38</v>
      </c>
      <c r="AC126" s="72">
        <f t="shared" si="3"/>
        <v>20</v>
      </c>
      <c r="AD126" s="53">
        <v>15.0</v>
      </c>
      <c r="AE126" s="54">
        <f t="shared" si="4"/>
        <v>35</v>
      </c>
      <c r="AF126" s="44">
        <f t="shared" si="5"/>
        <v>45.02470563</v>
      </c>
      <c r="AG126" s="55"/>
      <c r="AH126" s="46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</row>
    <row r="127" ht="12.75" customHeight="1">
      <c r="A127" s="31">
        <v>126.0</v>
      </c>
      <c r="B127" s="47">
        <v>124.0</v>
      </c>
      <c r="C127" s="32">
        <v>39.0</v>
      </c>
      <c r="D127" s="33" t="s">
        <v>139</v>
      </c>
      <c r="E127" s="34"/>
      <c r="F127" s="35"/>
      <c r="G127" s="35"/>
      <c r="H127" s="35"/>
      <c r="I127" s="35"/>
      <c r="J127" s="35"/>
      <c r="K127" s="35"/>
      <c r="L127" s="35"/>
      <c r="M127" s="35">
        <v>7.0</v>
      </c>
      <c r="N127" s="35"/>
      <c r="O127" s="35">
        <v>10.0</v>
      </c>
      <c r="P127" s="35">
        <v>8.0</v>
      </c>
      <c r="Q127" s="35"/>
      <c r="R127" s="35"/>
      <c r="S127" s="35"/>
      <c r="T127" s="35"/>
      <c r="U127" s="35"/>
      <c r="V127" s="35">
        <v>9.0</v>
      </c>
      <c r="W127" s="35"/>
      <c r="X127" s="36"/>
      <c r="Y127" s="37">
        <f t="shared" si="8"/>
        <v>4</v>
      </c>
      <c r="Z127" s="52">
        <f t="shared" si="2"/>
        <v>12.6</v>
      </c>
      <c r="AA127" s="71">
        <v>5.0</v>
      </c>
      <c r="AB127" s="73">
        <f>12+13+13+13+12</f>
        <v>63</v>
      </c>
      <c r="AC127" s="72">
        <f t="shared" si="3"/>
        <v>34</v>
      </c>
      <c r="AD127" s="53"/>
      <c r="AE127" s="54">
        <f t="shared" si="4"/>
        <v>34</v>
      </c>
      <c r="AF127" s="44">
        <f t="shared" si="5"/>
        <v>32.97727872</v>
      </c>
      <c r="AG127" s="45"/>
      <c r="AH127" s="46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</row>
    <row r="128" ht="12.75" customHeight="1">
      <c r="A128" s="47">
        <v>127.0</v>
      </c>
      <c r="B128" s="31">
        <v>125.0</v>
      </c>
      <c r="C128" s="32">
        <v>136.0</v>
      </c>
      <c r="D128" s="33" t="s">
        <v>140</v>
      </c>
      <c r="E128" s="34"/>
      <c r="F128" s="35">
        <v>9.0</v>
      </c>
      <c r="G128" s="35">
        <v>8.0</v>
      </c>
      <c r="H128" s="35"/>
      <c r="I128" s="35">
        <v>7.0</v>
      </c>
      <c r="J128" s="35">
        <v>9.0</v>
      </c>
      <c r="K128" s="35"/>
      <c r="L128" s="35"/>
      <c r="M128" s="35"/>
      <c r="N128" s="35"/>
      <c r="O128" s="35"/>
      <c r="P128" s="35"/>
      <c r="Q128" s="64"/>
      <c r="R128" s="35"/>
      <c r="S128" s="35"/>
      <c r="T128" s="35"/>
      <c r="U128" s="35"/>
      <c r="V128" s="35"/>
      <c r="W128" s="35"/>
      <c r="X128" s="36"/>
      <c r="Y128" s="37">
        <f t="shared" si="8"/>
        <v>4</v>
      </c>
      <c r="Z128" s="52">
        <f t="shared" si="2"/>
        <v>12.4</v>
      </c>
      <c r="AA128" s="71">
        <v>5.0</v>
      </c>
      <c r="AB128" s="73">
        <f>12+12+14+12+12</f>
        <v>62</v>
      </c>
      <c r="AC128" s="72">
        <f t="shared" si="3"/>
        <v>33</v>
      </c>
      <c r="AD128" s="53"/>
      <c r="AE128" s="54">
        <f t="shared" si="4"/>
        <v>33</v>
      </c>
      <c r="AF128" s="44">
        <f t="shared" si="5"/>
        <v>32.52360648</v>
      </c>
      <c r="AG128" s="55"/>
      <c r="AH128" s="46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</row>
    <row r="129" ht="12.75" customHeight="1">
      <c r="A129" s="47">
        <v>131.0</v>
      </c>
      <c r="B129" s="31">
        <v>126.0</v>
      </c>
      <c r="C129" s="32">
        <v>83.0</v>
      </c>
      <c r="D129" s="33" t="s">
        <v>141</v>
      </c>
      <c r="E129" s="34"/>
      <c r="F129" s="35"/>
      <c r="G129" s="35"/>
      <c r="H129" s="35"/>
      <c r="I129" s="35"/>
      <c r="J129" s="35"/>
      <c r="K129" s="35"/>
      <c r="L129" s="35"/>
      <c r="M129" s="35">
        <v>6.0</v>
      </c>
      <c r="N129" s="35"/>
      <c r="O129" s="35">
        <v>10.0</v>
      </c>
      <c r="P129" s="35">
        <v>8.5</v>
      </c>
      <c r="Q129" s="35"/>
      <c r="R129" s="35"/>
      <c r="S129" s="35"/>
      <c r="T129" s="35"/>
      <c r="U129" s="35"/>
      <c r="V129" s="35"/>
      <c r="W129" s="35">
        <v>8.0</v>
      </c>
      <c r="X129" s="36"/>
      <c r="Y129" s="37">
        <f t="shared" si="8"/>
        <v>4</v>
      </c>
      <c r="Z129" s="52">
        <f t="shared" si="2"/>
        <v>13.75</v>
      </c>
      <c r="AA129" s="71">
        <v>4.0</v>
      </c>
      <c r="AB129" s="73">
        <f>14+14+13+14</f>
        <v>55</v>
      </c>
      <c r="AC129" s="72">
        <f t="shared" si="3"/>
        <v>32.5</v>
      </c>
      <c r="AD129" s="53"/>
      <c r="AE129" s="54">
        <f t="shared" si="4"/>
        <v>32.5</v>
      </c>
      <c r="AF129" s="44">
        <f t="shared" si="5"/>
        <v>28.88597997</v>
      </c>
      <c r="AG129" s="45"/>
      <c r="AH129" s="46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</row>
    <row r="130" ht="12.75" customHeight="1">
      <c r="A130" s="31">
        <v>119.0</v>
      </c>
      <c r="B130" s="47">
        <v>127.0</v>
      </c>
      <c r="C130" s="32">
        <v>108.0</v>
      </c>
      <c r="D130" s="33" t="s">
        <v>142</v>
      </c>
      <c r="E130" s="34"/>
      <c r="F130" s="35"/>
      <c r="G130" s="35"/>
      <c r="H130" s="35"/>
      <c r="I130" s="35"/>
      <c r="J130" s="35"/>
      <c r="K130" s="35"/>
      <c r="L130" s="35"/>
      <c r="M130" s="35">
        <v>7.0</v>
      </c>
      <c r="N130" s="35"/>
      <c r="O130" s="35">
        <v>10.0</v>
      </c>
      <c r="P130" s="35"/>
      <c r="Q130" s="35"/>
      <c r="R130" s="35"/>
      <c r="S130" s="35"/>
      <c r="T130" s="35"/>
      <c r="U130" s="35"/>
      <c r="V130" s="35"/>
      <c r="W130" s="35"/>
      <c r="X130" s="36"/>
      <c r="Y130" s="37">
        <f t="shared" si="8"/>
        <v>2</v>
      </c>
      <c r="Z130" s="52">
        <f t="shared" si="2"/>
        <v>10</v>
      </c>
      <c r="AA130" s="71">
        <v>4.0</v>
      </c>
      <c r="AB130" s="71">
        <v>40.0</v>
      </c>
      <c r="AC130" s="72">
        <f t="shared" si="3"/>
        <v>17</v>
      </c>
      <c r="AD130" s="53">
        <v>15.0</v>
      </c>
      <c r="AE130" s="54">
        <f t="shared" si="4"/>
        <v>32</v>
      </c>
      <c r="AF130" s="44">
        <f t="shared" si="5"/>
        <v>39.10717289</v>
      </c>
      <c r="AG130" s="45" t="s">
        <v>21</v>
      </c>
      <c r="AH130" s="46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</row>
    <row r="131" ht="12.75" customHeight="1">
      <c r="A131" s="47">
        <v>130.0</v>
      </c>
      <c r="B131" s="47">
        <v>128.0</v>
      </c>
      <c r="C131" s="32">
        <v>135.0</v>
      </c>
      <c r="D131" s="33" t="s">
        <v>143</v>
      </c>
      <c r="E131" s="34"/>
      <c r="F131" s="35">
        <v>8.0</v>
      </c>
      <c r="G131" s="35">
        <v>8.0</v>
      </c>
      <c r="H131" s="35"/>
      <c r="I131" s="35">
        <v>8.0</v>
      </c>
      <c r="J131" s="35">
        <v>8.0</v>
      </c>
      <c r="K131" s="35"/>
      <c r="L131" s="64"/>
      <c r="M131" s="35"/>
      <c r="N131" s="35"/>
      <c r="O131" s="35"/>
      <c r="P131" s="35"/>
      <c r="Q131" s="64"/>
      <c r="R131" s="35"/>
      <c r="S131" s="35"/>
      <c r="T131" s="35"/>
      <c r="U131" s="35"/>
      <c r="V131" s="35"/>
      <c r="W131" s="35"/>
      <c r="X131" s="36"/>
      <c r="Y131" s="37">
        <f t="shared" si="8"/>
        <v>4</v>
      </c>
      <c r="Z131" s="52">
        <f t="shared" si="2"/>
        <v>13.4</v>
      </c>
      <c r="AA131" s="71">
        <v>5.0</v>
      </c>
      <c r="AB131" s="71">
        <f>14+14+14+14+11</f>
        <v>67</v>
      </c>
      <c r="AC131" s="72">
        <f t="shared" si="3"/>
        <v>32</v>
      </c>
      <c r="AD131" s="53"/>
      <c r="AE131" s="54">
        <f t="shared" si="4"/>
        <v>32</v>
      </c>
      <c r="AF131" s="44">
        <f t="shared" si="5"/>
        <v>29.18445738</v>
      </c>
      <c r="AG131" s="45"/>
      <c r="AH131" s="46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</row>
    <row r="132" ht="12.75" customHeight="1">
      <c r="A132" s="47">
        <v>120.0</v>
      </c>
      <c r="B132" s="47">
        <v>129.0</v>
      </c>
      <c r="C132" s="32">
        <v>107.0</v>
      </c>
      <c r="D132" s="33" t="s">
        <v>144</v>
      </c>
      <c r="E132" s="34"/>
      <c r="F132" s="35"/>
      <c r="G132" s="35"/>
      <c r="H132" s="35"/>
      <c r="I132" s="35"/>
      <c r="J132" s="35"/>
      <c r="K132" s="35"/>
      <c r="L132" s="35"/>
      <c r="M132" s="35">
        <v>7.0</v>
      </c>
      <c r="N132" s="35"/>
      <c r="O132" s="35">
        <v>9.0</v>
      </c>
      <c r="P132" s="35"/>
      <c r="Q132" s="35"/>
      <c r="R132" s="35"/>
      <c r="S132" s="35"/>
      <c r="T132" s="35"/>
      <c r="U132" s="35"/>
      <c r="V132" s="35"/>
      <c r="W132" s="35"/>
      <c r="X132" s="36"/>
      <c r="Y132" s="37">
        <f t="shared" si="8"/>
        <v>2</v>
      </c>
      <c r="Z132" s="52">
        <f t="shared" si="2"/>
        <v>9.75</v>
      </c>
      <c r="AA132" s="71">
        <v>4.0</v>
      </c>
      <c r="AB132" s="71">
        <v>39.0</v>
      </c>
      <c r="AC132" s="72">
        <f t="shared" si="3"/>
        <v>16</v>
      </c>
      <c r="AD132" s="53">
        <v>15.0</v>
      </c>
      <c r="AE132" s="54">
        <f t="shared" si="4"/>
        <v>31</v>
      </c>
      <c r="AF132" s="44">
        <f t="shared" si="5"/>
        <v>38.85648588</v>
      </c>
      <c r="AG132" s="45" t="s">
        <v>21</v>
      </c>
      <c r="AH132" s="46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</row>
    <row r="133" ht="12.75" customHeight="1">
      <c r="A133" s="31">
        <v>128.0</v>
      </c>
      <c r="B133" s="31">
        <v>130.0</v>
      </c>
      <c r="C133" s="32">
        <v>42.0</v>
      </c>
      <c r="D133" s="33" t="s">
        <v>145</v>
      </c>
      <c r="E133" s="34"/>
      <c r="F133" s="35"/>
      <c r="G133" s="35">
        <v>9.0</v>
      </c>
      <c r="H133" s="35">
        <v>9.0</v>
      </c>
      <c r="I133" s="35"/>
      <c r="J133" s="35">
        <v>8.0</v>
      </c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6"/>
      <c r="Y133" s="37">
        <f t="shared" si="8"/>
        <v>3</v>
      </c>
      <c r="Z133" s="52">
        <f t="shared" si="2"/>
        <v>10</v>
      </c>
      <c r="AA133" s="71">
        <v>3.0</v>
      </c>
      <c r="AB133" s="71">
        <v>30.0</v>
      </c>
      <c r="AC133" s="72">
        <f t="shared" si="3"/>
        <v>26</v>
      </c>
      <c r="AD133" s="53"/>
      <c r="AE133" s="54">
        <f t="shared" si="4"/>
        <v>26</v>
      </c>
      <c r="AF133" s="44">
        <f t="shared" si="5"/>
        <v>31.77457797</v>
      </c>
      <c r="AG133" s="45" t="s">
        <v>126</v>
      </c>
      <c r="AH133" s="46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</row>
    <row r="134" ht="12.75" customHeight="1">
      <c r="A134" s="47">
        <v>129.0</v>
      </c>
      <c r="B134" s="31">
        <v>131.0</v>
      </c>
      <c r="C134" s="32">
        <v>43.0</v>
      </c>
      <c r="D134" s="33" t="s">
        <v>146</v>
      </c>
      <c r="E134" s="34"/>
      <c r="F134" s="66"/>
      <c r="G134" s="35">
        <v>9.0</v>
      </c>
      <c r="H134" s="35">
        <v>9.0</v>
      </c>
      <c r="I134" s="66"/>
      <c r="J134" s="35">
        <v>8.0</v>
      </c>
      <c r="K134" s="66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6"/>
      <c r="Y134" s="37">
        <f t="shared" si="8"/>
        <v>3</v>
      </c>
      <c r="Z134" s="52">
        <f t="shared" si="2"/>
        <v>10.4</v>
      </c>
      <c r="AA134" s="71">
        <v>5.0</v>
      </c>
      <c r="AB134" s="71">
        <f>11+10+11+9+11</f>
        <v>52</v>
      </c>
      <c r="AC134" s="72">
        <f t="shared" si="3"/>
        <v>26</v>
      </c>
      <c r="AD134" s="53"/>
      <c r="AE134" s="54">
        <f t="shared" si="4"/>
        <v>26</v>
      </c>
      <c r="AF134" s="44">
        <f t="shared" si="5"/>
        <v>30.55247882</v>
      </c>
      <c r="AG134" s="45" t="s">
        <v>126</v>
      </c>
      <c r="AH134" s="46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</row>
    <row r="135" ht="12.75" customHeight="1">
      <c r="A135" s="47">
        <v>133.0</v>
      </c>
      <c r="B135" s="47">
        <v>132.0</v>
      </c>
      <c r="C135" s="32">
        <v>1.0</v>
      </c>
      <c r="D135" s="33" t="s">
        <v>147</v>
      </c>
      <c r="E135" s="34"/>
      <c r="F135" s="35"/>
      <c r="G135" s="35"/>
      <c r="H135" s="35"/>
      <c r="I135" s="35"/>
      <c r="J135" s="35"/>
      <c r="K135" s="35">
        <v>8.0</v>
      </c>
      <c r="L135" s="35"/>
      <c r="M135" s="35">
        <v>8.0</v>
      </c>
      <c r="N135" s="35"/>
      <c r="O135" s="35">
        <v>10.0</v>
      </c>
      <c r="P135" s="35"/>
      <c r="Q135" s="35"/>
      <c r="R135" s="35"/>
      <c r="S135" s="35"/>
      <c r="T135" s="35"/>
      <c r="U135" s="35"/>
      <c r="V135" s="35"/>
      <c r="W135" s="35"/>
      <c r="X135" s="36"/>
      <c r="Y135" s="37">
        <f t="shared" si="8"/>
        <v>3</v>
      </c>
      <c r="Z135" s="52">
        <f t="shared" si="2"/>
        <v>12</v>
      </c>
      <c r="AA135" s="71">
        <v>8.0</v>
      </c>
      <c r="AB135" s="71">
        <v>96.0</v>
      </c>
      <c r="AC135" s="72">
        <f t="shared" si="3"/>
        <v>26</v>
      </c>
      <c r="AD135" s="53">
        <v>0.0</v>
      </c>
      <c r="AE135" s="54">
        <f t="shared" si="4"/>
        <v>26</v>
      </c>
      <c r="AF135" s="44">
        <f t="shared" si="5"/>
        <v>26.47881498</v>
      </c>
      <c r="AG135" s="45"/>
      <c r="AH135" s="46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</row>
    <row r="136" ht="12.75" customHeight="1">
      <c r="A136" s="31">
        <v>134.0</v>
      </c>
      <c r="B136" s="47">
        <v>133.0</v>
      </c>
      <c r="C136" s="32">
        <v>2.0</v>
      </c>
      <c r="D136" s="33" t="s">
        <v>148</v>
      </c>
      <c r="E136" s="34"/>
      <c r="F136" s="35"/>
      <c r="G136" s="35"/>
      <c r="H136" s="35"/>
      <c r="I136" s="35"/>
      <c r="J136" s="35"/>
      <c r="K136" s="35">
        <v>8.0</v>
      </c>
      <c r="L136" s="35"/>
      <c r="M136" s="35">
        <v>8.0</v>
      </c>
      <c r="N136" s="35"/>
      <c r="O136" s="35">
        <v>10.0</v>
      </c>
      <c r="P136" s="35"/>
      <c r="Q136" s="35"/>
      <c r="R136" s="35"/>
      <c r="S136" s="35"/>
      <c r="T136" s="35"/>
      <c r="U136" s="35"/>
      <c r="V136" s="35"/>
      <c r="W136" s="35"/>
      <c r="X136" s="36"/>
      <c r="Y136" s="37">
        <f t="shared" si="8"/>
        <v>3</v>
      </c>
      <c r="Z136" s="52">
        <f t="shared" si="2"/>
        <v>12</v>
      </c>
      <c r="AA136" s="71">
        <v>7.0</v>
      </c>
      <c r="AB136" s="71">
        <v>84.0</v>
      </c>
      <c r="AC136" s="72">
        <f t="shared" si="3"/>
        <v>26</v>
      </c>
      <c r="AD136" s="53">
        <v>0.0</v>
      </c>
      <c r="AE136" s="54">
        <f t="shared" si="4"/>
        <v>26</v>
      </c>
      <c r="AF136" s="44">
        <f t="shared" si="5"/>
        <v>26.47881498</v>
      </c>
      <c r="AG136" s="55"/>
      <c r="AH136" s="46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</row>
    <row r="137" ht="12.75" customHeight="1">
      <c r="A137" s="47">
        <v>136.0</v>
      </c>
      <c r="B137" s="47">
        <v>134.0</v>
      </c>
      <c r="C137" s="32">
        <v>82.0</v>
      </c>
      <c r="D137" s="33" t="s">
        <v>141</v>
      </c>
      <c r="E137" s="34"/>
      <c r="F137" s="66"/>
      <c r="G137" s="64"/>
      <c r="H137" s="64"/>
      <c r="I137" s="64"/>
      <c r="J137" s="64"/>
      <c r="K137" s="35"/>
      <c r="L137" s="35"/>
      <c r="M137" s="35">
        <v>6.0</v>
      </c>
      <c r="N137" s="35"/>
      <c r="O137" s="35">
        <v>8.0</v>
      </c>
      <c r="P137" s="35" t="s">
        <v>149</v>
      </c>
      <c r="Q137" s="35"/>
      <c r="R137" s="35"/>
      <c r="S137" s="35"/>
      <c r="T137" s="35"/>
      <c r="U137" s="35"/>
      <c r="V137" s="35"/>
      <c r="W137" s="35">
        <v>10.0</v>
      </c>
      <c r="X137" s="36"/>
      <c r="Y137" s="37">
        <f t="shared" si="8"/>
        <v>4</v>
      </c>
      <c r="Z137" s="52">
        <f t="shared" si="2"/>
        <v>11.6</v>
      </c>
      <c r="AA137" s="71">
        <v>5.0</v>
      </c>
      <c r="AB137" s="71">
        <f>11+11+12+12+12</f>
        <v>58</v>
      </c>
      <c r="AC137" s="72">
        <f t="shared" si="3"/>
        <v>24</v>
      </c>
      <c r="AD137" s="53"/>
      <c r="AE137" s="54">
        <f t="shared" si="4"/>
        <v>24</v>
      </c>
      <c r="AF137" s="44">
        <f t="shared" si="5"/>
        <v>25.28481006</v>
      </c>
      <c r="AG137" s="45"/>
      <c r="AH137" s="46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</row>
    <row r="138" ht="12.75" customHeight="1">
      <c r="A138" s="47">
        <v>132.0</v>
      </c>
      <c r="B138" s="31">
        <v>135.0</v>
      </c>
      <c r="C138" s="32">
        <v>114.0</v>
      </c>
      <c r="D138" s="33" t="s">
        <v>150</v>
      </c>
      <c r="E138" s="34"/>
      <c r="F138" s="35"/>
      <c r="G138" s="35"/>
      <c r="H138" s="35">
        <v>10.0</v>
      </c>
      <c r="I138" s="35"/>
      <c r="J138" s="35">
        <v>10.0</v>
      </c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6"/>
      <c r="Y138" s="37">
        <f t="shared" si="8"/>
        <v>2</v>
      </c>
      <c r="Z138" s="52">
        <f t="shared" si="2"/>
        <v>8.666666667</v>
      </c>
      <c r="AA138" s="71">
        <v>6.0</v>
      </c>
      <c r="AB138" s="71">
        <v>52.0</v>
      </c>
      <c r="AC138" s="72">
        <f t="shared" si="3"/>
        <v>20</v>
      </c>
      <c r="AD138" s="53">
        <v>0.0</v>
      </c>
      <c r="AE138" s="54">
        <f t="shared" si="4"/>
        <v>20</v>
      </c>
      <c r="AF138" s="44">
        <f t="shared" si="5"/>
        <v>28.20228814</v>
      </c>
      <c r="AG138" s="45"/>
      <c r="AH138" s="46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</row>
    <row r="139" ht="12.75" customHeight="1">
      <c r="A139" s="31">
        <v>135.0</v>
      </c>
      <c r="B139" s="31">
        <v>136.0</v>
      </c>
      <c r="C139" s="32">
        <v>48.0</v>
      </c>
      <c r="D139" s="33" t="s">
        <v>151</v>
      </c>
      <c r="E139" s="34"/>
      <c r="F139" s="35"/>
      <c r="G139" s="35"/>
      <c r="H139" s="35"/>
      <c r="I139" s="35"/>
      <c r="J139" s="35"/>
      <c r="K139" s="35"/>
      <c r="L139" s="35"/>
      <c r="M139" s="35">
        <v>8.0</v>
      </c>
      <c r="N139" s="35"/>
      <c r="O139" s="35">
        <v>10.0</v>
      </c>
      <c r="P139" s="35"/>
      <c r="Q139" s="35"/>
      <c r="R139" s="35"/>
      <c r="S139" s="35"/>
      <c r="T139" s="35"/>
      <c r="U139" s="35"/>
      <c r="V139" s="35"/>
      <c r="W139" s="35"/>
      <c r="X139" s="36"/>
      <c r="Y139" s="37">
        <f t="shared" si="8"/>
        <v>2</v>
      </c>
      <c r="Z139" s="52">
        <f t="shared" si="2"/>
        <v>8.5</v>
      </c>
      <c r="AA139" s="71">
        <v>6.0</v>
      </c>
      <c r="AB139" s="71">
        <v>51.0</v>
      </c>
      <c r="AC139" s="72">
        <f t="shared" si="3"/>
        <v>18</v>
      </c>
      <c r="AD139" s="53">
        <v>0.0</v>
      </c>
      <c r="AE139" s="54">
        <f t="shared" si="4"/>
        <v>18</v>
      </c>
      <c r="AF139" s="44">
        <f t="shared" si="5"/>
        <v>25.87974676</v>
      </c>
      <c r="AG139" s="45"/>
      <c r="AH139" s="46"/>
      <c r="AI139" s="3"/>
      <c r="AJ139" s="3"/>
      <c r="AK139" s="74" t="str">
        <f>+AC279</f>
        <v/>
      </c>
      <c r="AL139" s="3"/>
      <c r="AM139" s="3"/>
      <c r="AN139" s="3"/>
      <c r="AO139" s="3"/>
      <c r="AP139" s="3"/>
      <c r="AQ139" s="3"/>
      <c r="AR139" s="3"/>
      <c r="AS139" s="3"/>
      <c r="AT139" s="3"/>
      <c r="AU139" s="3"/>
    </row>
    <row r="140" ht="12.75" customHeight="1">
      <c r="A140" s="47">
        <v>137.0</v>
      </c>
      <c r="B140" s="47">
        <v>137.0</v>
      </c>
      <c r="C140" s="32">
        <v>49.0</v>
      </c>
      <c r="D140" s="33" t="s">
        <v>151</v>
      </c>
      <c r="E140" s="4"/>
      <c r="F140" s="35"/>
      <c r="G140" s="35"/>
      <c r="H140" s="35"/>
      <c r="I140" s="35"/>
      <c r="J140" s="35"/>
      <c r="K140" s="35"/>
      <c r="L140" s="35"/>
      <c r="M140" s="35">
        <v>8.0</v>
      </c>
      <c r="N140" s="35"/>
      <c r="O140" s="35">
        <v>10.0</v>
      </c>
      <c r="P140" s="35"/>
      <c r="Q140" s="35"/>
      <c r="R140" s="35"/>
      <c r="S140" s="35"/>
      <c r="T140" s="35"/>
      <c r="U140" s="35"/>
      <c r="V140" s="35"/>
      <c r="W140" s="35"/>
      <c r="X140" s="35"/>
      <c r="Y140" s="64">
        <f t="shared" si="8"/>
        <v>2</v>
      </c>
      <c r="Z140" s="38">
        <f t="shared" si="2"/>
        <v>9</v>
      </c>
      <c r="AA140" s="48">
        <v>6.0</v>
      </c>
      <c r="AB140" s="48">
        <v>54.0</v>
      </c>
      <c r="AC140" s="72">
        <f t="shared" si="3"/>
        <v>18</v>
      </c>
      <c r="AD140" s="53">
        <v>0.0</v>
      </c>
      <c r="AE140" s="54">
        <f t="shared" si="4"/>
        <v>18</v>
      </c>
      <c r="AF140" s="44">
        <f t="shared" si="5"/>
        <v>24.44198305</v>
      </c>
      <c r="AG140" s="75"/>
      <c r="AH140" s="46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</row>
    <row r="141" ht="12.75" customHeight="1">
      <c r="A141" s="47">
        <v>138.0</v>
      </c>
      <c r="B141" s="47">
        <v>138.0</v>
      </c>
      <c r="C141" s="32">
        <v>50.0</v>
      </c>
      <c r="D141" s="33" t="s">
        <v>151</v>
      </c>
      <c r="E141" s="4"/>
      <c r="F141" s="35"/>
      <c r="G141" s="35"/>
      <c r="H141" s="35"/>
      <c r="I141" s="35"/>
      <c r="J141" s="35"/>
      <c r="K141" s="35"/>
      <c r="L141" s="35"/>
      <c r="M141" s="35">
        <v>8.0</v>
      </c>
      <c r="N141" s="35"/>
      <c r="O141" s="35">
        <v>10.0</v>
      </c>
      <c r="P141" s="35"/>
      <c r="Q141" s="35"/>
      <c r="R141" s="35"/>
      <c r="S141" s="35"/>
      <c r="T141" s="35"/>
      <c r="U141" s="35"/>
      <c r="V141" s="35"/>
      <c r="W141" s="35"/>
      <c r="X141" s="35"/>
      <c r="Y141" s="64">
        <f t="shared" si="8"/>
        <v>2</v>
      </c>
      <c r="Z141" s="38">
        <f t="shared" si="2"/>
        <v>9</v>
      </c>
      <c r="AA141" s="48">
        <v>6.0</v>
      </c>
      <c r="AB141" s="48">
        <v>54.0</v>
      </c>
      <c r="AC141" s="72">
        <f t="shared" si="3"/>
        <v>18</v>
      </c>
      <c r="AD141" s="53">
        <v>0.0</v>
      </c>
      <c r="AE141" s="54">
        <f t="shared" si="4"/>
        <v>18</v>
      </c>
      <c r="AF141" s="44">
        <f t="shared" si="5"/>
        <v>24.44198305</v>
      </c>
      <c r="AG141" s="75"/>
      <c r="AH141" s="46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</row>
    <row r="142" ht="12.75" customHeight="1">
      <c r="A142" s="31">
        <v>139.0</v>
      </c>
      <c r="B142" s="47">
        <v>139.0</v>
      </c>
      <c r="C142" s="32">
        <v>34.0</v>
      </c>
      <c r="D142" s="33" t="s">
        <v>69</v>
      </c>
      <c r="E142" s="4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64">
        <f t="shared" si="8"/>
        <v>0</v>
      </c>
      <c r="Z142" s="38">
        <f t="shared" si="2"/>
        <v>12.2</v>
      </c>
      <c r="AA142" s="48">
        <v>5.0</v>
      </c>
      <c r="AB142" s="48">
        <f>13+12+12+12+12</f>
        <v>61</v>
      </c>
      <c r="AC142" s="72">
        <f t="shared" si="3"/>
        <v>0</v>
      </c>
      <c r="AD142" s="53"/>
      <c r="AE142" s="54">
        <f t="shared" si="4"/>
        <v>0</v>
      </c>
      <c r="AF142" s="44">
        <f t="shared" si="5"/>
        <v>0</v>
      </c>
      <c r="AG142" s="76"/>
      <c r="AH142" s="77" t="s">
        <v>152</v>
      </c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</row>
    <row r="143" ht="12.75" customHeight="1">
      <c r="A143" s="47">
        <v>140.0</v>
      </c>
      <c r="B143" s="31">
        <v>140.0</v>
      </c>
      <c r="C143" s="32">
        <v>51.0</v>
      </c>
      <c r="D143" s="33" t="s">
        <v>63</v>
      </c>
      <c r="E143" s="4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64">
        <f t="shared" si="8"/>
        <v>0</v>
      </c>
      <c r="Z143" s="38">
        <f t="shared" si="2"/>
        <v>12</v>
      </c>
      <c r="AA143" s="48">
        <v>4.0</v>
      </c>
      <c r="AB143" s="48">
        <f>11+12+12+13</f>
        <v>48</v>
      </c>
      <c r="AC143" s="72">
        <f t="shared" si="3"/>
        <v>0</v>
      </c>
      <c r="AD143" s="53"/>
      <c r="AE143" s="54">
        <f t="shared" si="4"/>
        <v>0</v>
      </c>
      <c r="AF143" s="44">
        <f t="shared" si="5"/>
        <v>0</v>
      </c>
      <c r="AG143" s="75"/>
      <c r="AH143" s="77" t="s">
        <v>152</v>
      </c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</row>
    <row r="144" ht="12.75" customHeight="1">
      <c r="A144" s="47">
        <v>141.0</v>
      </c>
      <c r="B144" s="31">
        <v>141.0</v>
      </c>
      <c r="C144" s="32">
        <v>53.0</v>
      </c>
      <c r="D144" s="33" t="s">
        <v>63</v>
      </c>
      <c r="E144" s="4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64">
        <f t="shared" si="8"/>
        <v>0</v>
      </c>
      <c r="Z144" s="38">
        <f t="shared" si="2"/>
        <v>12.66666667</v>
      </c>
      <c r="AA144" s="48">
        <v>6.0</v>
      </c>
      <c r="AB144" s="48">
        <f>13+12+14+13+12+12</f>
        <v>76</v>
      </c>
      <c r="AC144" s="72">
        <f t="shared" si="3"/>
        <v>0</v>
      </c>
      <c r="AD144" s="53"/>
      <c r="AE144" s="54">
        <f t="shared" si="4"/>
        <v>0</v>
      </c>
      <c r="AF144" s="44">
        <f t="shared" si="5"/>
        <v>0</v>
      </c>
      <c r="AG144" s="75"/>
      <c r="AH144" s="77" t="s">
        <v>152</v>
      </c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</row>
    <row r="145" ht="12.75" customHeight="1">
      <c r="A145" s="31">
        <v>142.0</v>
      </c>
      <c r="B145" s="47">
        <v>142.0</v>
      </c>
      <c r="C145" s="32">
        <v>58.0</v>
      </c>
      <c r="D145" s="33"/>
      <c r="E145" s="4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64"/>
      <c r="R145" s="35"/>
      <c r="S145" s="35"/>
      <c r="T145" s="35"/>
      <c r="U145" s="35"/>
      <c r="V145" s="35"/>
      <c r="W145" s="35"/>
      <c r="X145" s="35"/>
      <c r="Y145" s="64">
        <f t="shared" si="8"/>
        <v>0</v>
      </c>
      <c r="Z145" s="38">
        <f t="shared" si="2"/>
        <v>12</v>
      </c>
      <c r="AA145" s="48">
        <v>4.0</v>
      </c>
      <c r="AB145" s="48">
        <v>48.0</v>
      </c>
      <c r="AC145" s="72">
        <f t="shared" si="3"/>
        <v>0</v>
      </c>
      <c r="AD145" s="53"/>
      <c r="AE145" s="54">
        <f t="shared" si="4"/>
        <v>0</v>
      </c>
      <c r="AF145" s="44">
        <f t="shared" si="5"/>
        <v>0</v>
      </c>
      <c r="AG145" s="76"/>
      <c r="AH145" s="46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</row>
    <row r="146" ht="12.75" customHeight="1">
      <c r="A146" s="47">
        <v>143.0</v>
      </c>
      <c r="B146" s="47">
        <v>143.0</v>
      </c>
      <c r="C146" s="32">
        <v>119.0</v>
      </c>
      <c r="D146" s="33" t="s">
        <v>102</v>
      </c>
      <c r="E146" s="4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64">
        <f t="shared" si="8"/>
        <v>0</v>
      </c>
      <c r="Z146" s="38">
        <f t="shared" si="2"/>
        <v>10.5</v>
      </c>
      <c r="AA146" s="48">
        <v>4.0</v>
      </c>
      <c r="AB146" s="49">
        <f>10+12+12+8</f>
        <v>42</v>
      </c>
      <c r="AC146" s="72">
        <f t="shared" si="3"/>
        <v>0</v>
      </c>
      <c r="AD146" s="53"/>
      <c r="AE146" s="54">
        <f t="shared" si="4"/>
        <v>0</v>
      </c>
      <c r="AF146" s="44">
        <f t="shared" si="5"/>
        <v>0</v>
      </c>
      <c r="AG146" s="75"/>
      <c r="AH146" s="77" t="s">
        <v>152</v>
      </c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</row>
    <row r="147" ht="12.75" customHeight="1">
      <c r="A147" s="47">
        <v>144.0</v>
      </c>
      <c r="B147" s="47">
        <v>144.0</v>
      </c>
      <c r="C147" s="32">
        <v>124.0</v>
      </c>
      <c r="D147" s="33" t="s">
        <v>153</v>
      </c>
      <c r="E147" s="4"/>
      <c r="F147" s="35"/>
      <c r="G147" s="64"/>
      <c r="H147" s="64"/>
      <c r="I147" s="64"/>
      <c r="J147" s="66"/>
      <c r="K147" s="66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64">
        <f t="shared" si="8"/>
        <v>0</v>
      </c>
      <c r="Z147" s="38">
        <f t="shared" si="2"/>
        <v>5.5</v>
      </c>
      <c r="AA147" s="48">
        <v>4.0</v>
      </c>
      <c r="AB147" s="48">
        <v>22.0</v>
      </c>
      <c r="AC147" s="72">
        <f t="shared" si="3"/>
        <v>0</v>
      </c>
      <c r="AD147" s="53">
        <v>0.0</v>
      </c>
      <c r="AE147" s="54">
        <f t="shared" si="4"/>
        <v>0</v>
      </c>
      <c r="AF147" s="44">
        <f t="shared" si="5"/>
        <v>0</v>
      </c>
      <c r="AG147" s="75"/>
      <c r="AH147" s="46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</row>
    <row r="148" ht="12.75" customHeight="1">
      <c r="A148" s="31">
        <v>145.0</v>
      </c>
      <c r="B148" s="31">
        <v>145.0</v>
      </c>
      <c r="C148" s="32">
        <v>125.0</v>
      </c>
      <c r="D148" s="33" t="s">
        <v>153</v>
      </c>
      <c r="E148" s="4"/>
      <c r="F148" s="35"/>
      <c r="G148" s="35"/>
      <c r="H148" s="35"/>
      <c r="I148" s="66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64">
        <f t="shared" si="8"/>
        <v>0</v>
      </c>
      <c r="Z148" s="38">
        <f t="shared" si="2"/>
        <v>6.6</v>
      </c>
      <c r="AA148" s="48">
        <v>5.0</v>
      </c>
      <c r="AB148" s="48">
        <v>33.0</v>
      </c>
      <c r="AC148" s="72">
        <f t="shared" si="3"/>
        <v>0</v>
      </c>
      <c r="AD148" s="53"/>
      <c r="AE148" s="54">
        <f t="shared" si="4"/>
        <v>0</v>
      </c>
      <c r="AF148" s="44">
        <f t="shared" si="5"/>
        <v>0</v>
      </c>
      <c r="AG148" s="75"/>
      <c r="AH148" s="46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</row>
    <row r="149" ht="12.75" customHeight="1">
      <c r="A149" s="47">
        <v>146.0</v>
      </c>
      <c r="B149" s="31">
        <v>146.0</v>
      </c>
      <c r="C149" s="32">
        <v>134.0</v>
      </c>
      <c r="D149" s="33" t="s">
        <v>40</v>
      </c>
      <c r="E149" s="4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64">
        <f t="shared" si="8"/>
        <v>0</v>
      </c>
      <c r="Z149" s="38">
        <f t="shared" si="2"/>
        <v>9.333333333</v>
      </c>
      <c r="AA149" s="48">
        <v>3.0</v>
      </c>
      <c r="AB149" s="48">
        <f>11+8+9</f>
        <v>28</v>
      </c>
      <c r="AC149" s="72">
        <f t="shared" si="3"/>
        <v>0</v>
      </c>
      <c r="AD149" s="53"/>
      <c r="AE149" s="54">
        <f t="shared" si="4"/>
        <v>0</v>
      </c>
      <c r="AF149" s="44">
        <f t="shared" si="5"/>
        <v>0</v>
      </c>
      <c r="AG149" s="75"/>
      <c r="AH149" s="77" t="s">
        <v>152</v>
      </c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</row>
    <row r="150" ht="12.75" customHeight="1">
      <c r="A150" s="47">
        <v>147.0</v>
      </c>
      <c r="B150" s="47">
        <v>147.0</v>
      </c>
      <c r="C150" s="32">
        <v>143.0</v>
      </c>
      <c r="D150" s="33" t="s">
        <v>154</v>
      </c>
      <c r="E150" s="4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64"/>
      <c r="R150" s="35"/>
      <c r="S150" s="35"/>
      <c r="T150" s="35"/>
      <c r="U150" s="35"/>
      <c r="V150" s="35"/>
      <c r="W150" s="35"/>
      <c r="X150" s="35"/>
      <c r="Y150" s="64">
        <f t="shared" si="8"/>
        <v>0</v>
      </c>
      <c r="Z150" s="38">
        <f t="shared" si="2"/>
        <v>10.2</v>
      </c>
      <c r="AA150" s="48">
        <v>5.0</v>
      </c>
      <c r="AB150" s="48">
        <v>51.0</v>
      </c>
      <c r="AC150" s="72">
        <f t="shared" si="3"/>
        <v>0</v>
      </c>
      <c r="AD150" s="53"/>
      <c r="AE150" s="54">
        <f t="shared" si="4"/>
        <v>0</v>
      </c>
      <c r="AF150" s="44">
        <f t="shared" si="5"/>
        <v>0</v>
      </c>
      <c r="AG150" s="75" t="s">
        <v>20</v>
      </c>
      <c r="AH150" s="46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</row>
    <row r="151" ht="12.75" customHeight="1">
      <c r="A151" s="31">
        <v>148.0</v>
      </c>
      <c r="B151" s="47">
        <v>148.0</v>
      </c>
      <c r="C151" s="32">
        <v>144.0</v>
      </c>
      <c r="D151" s="33" t="s">
        <v>155</v>
      </c>
      <c r="E151" s="4"/>
      <c r="F151" s="78"/>
      <c r="G151" s="79"/>
      <c r="H151" s="79"/>
      <c r="I151" s="79"/>
      <c r="J151" s="79"/>
      <c r="K151" s="79"/>
      <c r="L151" s="79"/>
      <c r="M151" s="79"/>
      <c r="N151" s="79"/>
      <c r="O151" s="79"/>
      <c r="P151" s="79"/>
      <c r="Q151" s="80"/>
      <c r="R151" s="79"/>
      <c r="S151" s="79"/>
      <c r="T151" s="79"/>
      <c r="U151" s="79"/>
      <c r="V151" s="79"/>
      <c r="W151" s="79"/>
      <c r="X151" s="78"/>
      <c r="Y151" s="37">
        <f t="shared" si="8"/>
        <v>0</v>
      </c>
      <c r="Z151" s="52">
        <f t="shared" si="2"/>
        <v>9.5</v>
      </c>
      <c r="AA151" s="81">
        <v>4.0</v>
      </c>
      <c r="AB151" s="82">
        <f>10+9+10+9</f>
        <v>38</v>
      </c>
      <c r="AC151" s="72">
        <f t="shared" si="3"/>
        <v>0</v>
      </c>
      <c r="AD151" s="53"/>
      <c r="AE151" s="54">
        <f t="shared" si="4"/>
        <v>0</v>
      </c>
      <c r="AF151" s="44">
        <f t="shared" si="5"/>
        <v>0</v>
      </c>
      <c r="AG151" s="75" t="s">
        <v>20</v>
      </c>
      <c r="AH151" s="46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</row>
    <row r="152" ht="12.75" customHeight="1">
      <c r="A152" s="83" t="s">
        <v>156</v>
      </c>
      <c r="B152" s="84"/>
      <c r="C152" s="85">
        <f>COUNTA(C4:C151)</f>
        <v>148</v>
      </c>
      <c r="D152" s="86"/>
      <c r="E152" s="86"/>
      <c r="F152" s="87">
        <f t="shared" ref="F152:X152" si="9">COUNTA(F4:F151)</f>
        <v>73</v>
      </c>
      <c r="G152" s="87">
        <f t="shared" si="9"/>
        <v>77</v>
      </c>
      <c r="H152" s="87">
        <f t="shared" si="9"/>
        <v>74</v>
      </c>
      <c r="I152" s="87">
        <f t="shared" si="9"/>
        <v>64</v>
      </c>
      <c r="J152" s="87">
        <f t="shared" si="9"/>
        <v>77</v>
      </c>
      <c r="K152" s="87">
        <f t="shared" si="9"/>
        <v>80</v>
      </c>
      <c r="L152" s="87">
        <f t="shared" si="9"/>
        <v>0</v>
      </c>
      <c r="M152" s="87">
        <f t="shared" si="9"/>
        <v>104</v>
      </c>
      <c r="N152" s="87">
        <f t="shared" si="9"/>
        <v>0</v>
      </c>
      <c r="O152" s="87">
        <f t="shared" si="9"/>
        <v>103</v>
      </c>
      <c r="P152" s="87">
        <f t="shared" si="9"/>
        <v>83</v>
      </c>
      <c r="Q152" s="87">
        <f t="shared" si="9"/>
        <v>80</v>
      </c>
      <c r="R152" s="87">
        <f t="shared" si="9"/>
        <v>74</v>
      </c>
      <c r="S152" s="87">
        <f t="shared" si="9"/>
        <v>70</v>
      </c>
      <c r="T152" s="87">
        <f t="shared" si="9"/>
        <v>70</v>
      </c>
      <c r="U152" s="87">
        <f t="shared" si="9"/>
        <v>73</v>
      </c>
      <c r="V152" s="87">
        <f t="shared" si="9"/>
        <v>77</v>
      </c>
      <c r="W152" s="87">
        <f t="shared" si="9"/>
        <v>93</v>
      </c>
      <c r="X152" s="87">
        <f t="shared" si="9"/>
        <v>82</v>
      </c>
      <c r="Y152" s="87"/>
      <c r="Z152" s="88">
        <f>AVERAGE(Z4:Z151)</f>
        <v>12.22099153</v>
      </c>
      <c r="AA152" s="89">
        <f>SUM(AA4:AA151)</f>
        <v>795</v>
      </c>
      <c r="AB152" s="90"/>
      <c r="AC152" s="91"/>
      <c r="AD152" s="92"/>
      <c r="AE152" s="93"/>
      <c r="AF152" s="93"/>
      <c r="AG152" s="94"/>
      <c r="AH152" s="95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</row>
    <row r="153" ht="12.75" customHeight="1">
      <c r="A153" s="1"/>
      <c r="B153" s="1"/>
      <c r="C153" s="96"/>
      <c r="D153" s="3"/>
      <c r="E153" s="3"/>
      <c r="F153" s="4"/>
      <c r="G153" s="97"/>
      <c r="H153" s="97"/>
      <c r="I153" s="97"/>
      <c r="J153" s="97"/>
      <c r="K153" s="97"/>
      <c r="L153" s="97"/>
      <c r="M153" s="97"/>
      <c r="N153" s="97"/>
      <c r="O153" s="97"/>
      <c r="P153" s="97"/>
      <c r="Q153" s="97"/>
      <c r="R153" s="97"/>
      <c r="S153" s="97"/>
      <c r="T153" s="97"/>
      <c r="U153" s="97"/>
      <c r="V153" s="97"/>
      <c r="W153" s="97"/>
      <c r="X153" s="97"/>
      <c r="Y153" s="97"/>
      <c r="Z153" s="98" t="s">
        <v>157</v>
      </c>
      <c r="AA153" s="99" t="s">
        <v>158</v>
      </c>
      <c r="AB153" s="100"/>
      <c r="AC153" s="3"/>
      <c r="AD153" s="3"/>
      <c r="AE153" s="6"/>
      <c r="AF153" s="6"/>
      <c r="AG153" s="3"/>
      <c r="AH153" s="46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</row>
    <row r="154" ht="12.75" customHeight="1">
      <c r="A154" s="1"/>
      <c r="B154" s="1"/>
      <c r="C154" s="96"/>
      <c r="D154" s="101" t="s">
        <v>159</v>
      </c>
      <c r="E154" s="102"/>
      <c r="F154" s="101" t="s">
        <v>160</v>
      </c>
      <c r="S154" s="97"/>
      <c r="T154" s="97"/>
      <c r="U154" s="97"/>
      <c r="V154" s="97"/>
      <c r="W154" s="97"/>
      <c r="X154" s="97"/>
      <c r="Y154" s="97"/>
      <c r="Z154" s="97"/>
      <c r="AA154" s="97"/>
      <c r="AB154" s="97"/>
      <c r="AC154" s="103"/>
      <c r="AD154" s="100"/>
      <c r="AE154" s="100"/>
      <c r="AF154" s="3"/>
      <c r="AG154" s="3"/>
      <c r="AH154" s="6"/>
      <c r="AI154" s="6"/>
      <c r="AJ154" s="3"/>
      <c r="AK154" s="46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</row>
    <row r="155" ht="12.75" customHeight="1">
      <c r="A155" s="1"/>
      <c r="B155" s="1"/>
      <c r="C155" s="96"/>
      <c r="D155" s="102" t="s">
        <v>161</v>
      </c>
      <c r="E155" s="102"/>
      <c r="F155" s="101" t="s">
        <v>162</v>
      </c>
      <c r="S155" s="97"/>
      <c r="T155" s="97"/>
      <c r="U155" s="97"/>
      <c r="V155" s="97"/>
      <c r="W155" s="97"/>
      <c r="X155" s="97"/>
      <c r="Y155" s="97"/>
      <c r="Z155" s="97"/>
      <c r="AA155" s="97"/>
      <c r="AB155" s="97"/>
      <c r="AC155" s="103"/>
      <c r="AD155" s="100"/>
      <c r="AE155" s="100"/>
      <c r="AF155" s="3"/>
      <c r="AG155" s="3"/>
      <c r="AH155" s="6"/>
      <c r="AI155" s="6"/>
      <c r="AJ155" s="3"/>
      <c r="AK155" s="46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</row>
    <row r="156" ht="12.75" customHeight="1">
      <c r="A156" s="1"/>
      <c r="B156" s="1"/>
      <c r="C156" s="96"/>
      <c r="D156" s="102" t="s">
        <v>163</v>
      </c>
      <c r="E156" s="102"/>
      <c r="F156" s="101" t="s">
        <v>164</v>
      </c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97"/>
      <c r="T156" s="97"/>
      <c r="U156" s="97"/>
      <c r="V156" s="97"/>
      <c r="W156" s="97"/>
      <c r="X156" s="97"/>
      <c r="Y156" s="97"/>
      <c r="Z156" s="97"/>
      <c r="AA156" s="97"/>
      <c r="AB156" s="97"/>
      <c r="AC156" s="103"/>
      <c r="AD156" s="100"/>
      <c r="AE156" s="100"/>
      <c r="AF156" s="3"/>
      <c r="AG156" s="3"/>
      <c r="AH156" s="6"/>
      <c r="AI156" s="6"/>
      <c r="AJ156" s="3"/>
      <c r="AK156" s="46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</row>
    <row r="157" ht="12.75" customHeight="1">
      <c r="A157" s="1"/>
      <c r="B157" s="1"/>
      <c r="C157" s="2"/>
      <c r="D157" s="4" t="s">
        <v>165</v>
      </c>
      <c r="E157" s="4"/>
      <c r="F157" s="104">
        <f>+C152</f>
        <v>148</v>
      </c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5"/>
      <c r="AD157" s="5"/>
      <c r="AE157" s="5"/>
      <c r="AF157" s="3"/>
      <c r="AG157" s="3"/>
      <c r="AH157" s="6"/>
      <c r="AI157" s="6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</row>
    <row r="158" ht="12.75" customHeight="1">
      <c r="A158" s="1"/>
      <c r="B158" s="1"/>
      <c r="C158" s="2"/>
      <c r="D158" s="4" t="s">
        <v>166</v>
      </c>
      <c r="E158" s="4"/>
      <c r="F158" s="105">
        <f>+AA152</f>
        <v>795</v>
      </c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5"/>
      <c r="AD158" s="5"/>
      <c r="AE158" s="5"/>
      <c r="AF158" s="3"/>
      <c r="AG158" s="3"/>
      <c r="AH158" s="6"/>
      <c r="AI158" s="6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</row>
    <row r="159" ht="12.75" customHeight="1">
      <c r="A159" s="1"/>
      <c r="B159" s="1"/>
      <c r="C159" s="2"/>
      <c r="D159" s="4" t="s">
        <v>167</v>
      </c>
      <c r="E159" s="4"/>
      <c r="F159" s="106">
        <v>31.0</v>
      </c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5"/>
      <c r="AD159" s="5"/>
      <c r="AE159" s="5"/>
      <c r="AF159" s="3"/>
      <c r="AG159" s="3"/>
      <c r="AH159" s="6"/>
      <c r="AI159" s="6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</row>
    <row r="160" ht="12.75" customHeight="1">
      <c r="A160" s="1"/>
      <c r="B160" s="1"/>
      <c r="C160" s="2"/>
      <c r="D160" s="4" t="s">
        <v>168</v>
      </c>
      <c r="E160" s="4"/>
      <c r="F160" s="33" t="s">
        <v>169</v>
      </c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5"/>
      <c r="AD160" s="5"/>
      <c r="AE160" s="5"/>
      <c r="AF160" s="3"/>
      <c r="AG160" s="3"/>
      <c r="AH160" s="6"/>
      <c r="AI160" s="6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</row>
    <row r="161" ht="12.75" customHeight="1">
      <c r="A161" s="1"/>
      <c r="B161" s="1"/>
      <c r="C161" s="2"/>
      <c r="D161" s="4" t="s">
        <v>170</v>
      </c>
      <c r="E161" s="4"/>
      <c r="F161" s="106" t="s">
        <v>23</v>
      </c>
      <c r="G161" s="4"/>
      <c r="H161" s="107"/>
      <c r="I161" s="107"/>
      <c r="J161" s="107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5"/>
      <c r="AD161" s="5"/>
      <c r="AE161" s="5"/>
      <c r="AF161" s="3"/>
      <c r="AG161" s="3"/>
      <c r="AH161" s="6"/>
      <c r="AI161" s="6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</row>
    <row r="162" ht="12.75" customHeight="1">
      <c r="A162" s="1"/>
      <c r="B162" s="1"/>
      <c r="C162" s="2"/>
      <c r="D162" s="4" t="s">
        <v>171</v>
      </c>
      <c r="E162" s="4"/>
      <c r="F162" s="108" t="s">
        <v>16</v>
      </c>
      <c r="G162" s="4"/>
      <c r="H162" s="107"/>
      <c r="I162" s="107"/>
      <c r="J162" s="107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5"/>
      <c r="AD162" s="5"/>
      <c r="AE162" s="5"/>
      <c r="AF162" s="3"/>
      <c r="AG162" s="3"/>
      <c r="AH162" s="6"/>
      <c r="AI162" s="6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</row>
    <row r="163" ht="12.75" customHeight="1">
      <c r="A163" s="1"/>
      <c r="B163" s="1"/>
      <c r="C163" s="2"/>
      <c r="D163" s="4" t="s">
        <v>172</v>
      </c>
      <c r="E163" s="4"/>
      <c r="F163" s="108" t="s">
        <v>15</v>
      </c>
      <c r="G163" s="4"/>
      <c r="H163" s="107"/>
      <c r="I163" s="107"/>
      <c r="J163" s="107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5"/>
      <c r="AD163" s="5"/>
      <c r="AE163" s="5"/>
      <c r="AF163" s="3"/>
      <c r="AG163" s="3"/>
      <c r="AH163" s="6"/>
      <c r="AI163" s="6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</row>
    <row r="164" ht="12.75" customHeight="1">
      <c r="A164" s="1"/>
      <c r="B164" s="1"/>
      <c r="C164" s="2"/>
      <c r="D164" s="4" t="s">
        <v>173</v>
      </c>
      <c r="E164" s="4"/>
      <c r="F164" s="106" t="s">
        <v>174</v>
      </c>
      <c r="J164" s="107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5"/>
      <c r="AD164" s="5"/>
      <c r="AE164" s="5"/>
      <c r="AF164" s="3"/>
      <c r="AG164" s="3"/>
      <c r="AH164" s="6"/>
      <c r="AI164" s="6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</row>
    <row r="165" ht="12.75" customHeight="1">
      <c r="A165" s="1"/>
      <c r="B165" s="1"/>
      <c r="C165" s="2"/>
      <c r="D165" s="4" t="s">
        <v>175</v>
      </c>
      <c r="E165" s="4"/>
      <c r="F165" s="106" t="s">
        <v>176</v>
      </c>
      <c r="J165" s="107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5"/>
      <c r="AD165" s="5"/>
      <c r="AE165" s="5"/>
      <c r="AF165" s="3"/>
      <c r="AG165" s="3"/>
      <c r="AH165" s="6"/>
      <c r="AI165" s="6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</row>
    <row r="166" ht="12.75" customHeight="1">
      <c r="A166" s="1"/>
      <c r="B166" s="1"/>
      <c r="C166" s="2"/>
      <c r="D166" s="4" t="s">
        <v>177</v>
      </c>
      <c r="E166" s="4"/>
      <c r="F166" s="106" t="s">
        <v>178</v>
      </c>
      <c r="G166" s="4"/>
      <c r="H166" s="107"/>
      <c r="I166" s="107"/>
      <c r="J166" s="107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5"/>
      <c r="AD166" s="5"/>
      <c r="AE166" s="5"/>
      <c r="AF166" s="3"/>
      <c r="AG166" s="3"/>
      <c r="AH166" s="6"/>
      <c r="AI166" s="6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</row>
    <row r="167" ht="12.75" customHeight="1">
      <c r="A167" s="1"/>
      <c r="B167" s="1"/>
      <c r="C167" s="2"/>
      <c r="D167" s="4" t="s">
        <v>179</v>
      </c>
      <c r="E167" s="4"/>
      <c r="F167" s="106" t="s">
        <v>180</v>
      </c>
      <c r="G167" s="4"/>
      <c r="H167" s="107"/>
      <c r="I167" s="107"/>
      <c r="J167" s="107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5"/>
      <c r="AD167" s="5"/>
      <c r="AE167" s="5"/>
      <c r="AF167" s="3"/>
      <c r="AG167" s="3"/>
      <c r="AH167" s="6"/>
      <c r="AI167" s="6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</row>
    <row r="168" ht="12.7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</row>
  </sheetData>
  <mergeCells count="9">
    <mergeCell ref="F164:I164"/>
    <mergeCell ref="F165:I165"/>
    <mergeCell ref="A152:B152"/>
    <mergeCell ref="F154:R154"/>
    <mergeCell ref="F155:R155"/>
    <mergeCell ref="F157:R157"/>
    <mergeCell ref="F158:R158"/>
    <mergeCell ref="F159:R159"/>
    <mergeCell ref="F160:R160"/>
  </mergeCells>
  <drawing r:id="rId1"/>
</worksheet>
</file>